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C:\Users\sluque\Desktop\Material Microcredenciales\Modelos documentos\"/>
    </mc:Choice>
  </mc:AlternateContent>
  <xr:revisionPtr revIDLastSave="0" documentId="13_ncr:1_{92E93336-27C2-4483-9F3B-BE066DD5D590}" xr6:coauthVersionLast="47" xr6:coauthVersionMax="47" xr10:uidLastSave="{00000000-0000-0000-0000-000000000000}"/>
  <workbookProtection workbookAlgorithmName="SHA-512" workbookHashValue="TEx9RJgSTI8PXPNoR7KvYhY9CRpp6+WHZWH+7RtWO+TiSCfvKh+WeqsdGJAr5ooPt9YK8LXPermmkRy8R81YBg==" workbookSaltValue="HoD3UJrYxpBq1dPqmVhXaw==" workbookSpinCount="100000" lockStructure="1"/>
  <bookViews>
    <workbookView xWindow="-108" yWindow="-108" windowWidth="23256" windowHeight="12456" xr2:uid="{83EF7BF3-B107-4AF8-91EE-36491C340FC5}"/>
  </bookViews>
  <sheets>
    <sheet name="Datos generales" sheetId="1" r:id="rId1"/>
    <sheet name="Listado" sheetId="12" state="hidden" r:id="rId2"/>
    <sheet name="Datos académicos certificado" sheetId="3" r:id="rId3"/>
    <sheet name="Datos derechos (opcional)" sheetId="7" r:id="rId4"/>
    <sheet name="Memoria académica" sheetId="8" r:id="rId5"/>
    <sheet name="Personal docente y de apoyo" sheetId="4" r:id="rId6"/>
    <sheet name="Memoria económica" sheetId="2" r:id="rId7"/>
    <sheet name="Datos para SGIC" sheetId="11" r:id="rId8"/>
    <sheet name="Informe de autoevaluación" sheetId="13" r:id="rId9"/>
    <sheet name="Resumen errores" sheetId="5" r:id="rId10"/>
  </sheets>
  <definedNames>
    <definedName name="AColecVulnera">'Datos generales'!$E$56</definedName>
    <definedName name="Actividad1">'Datos académicos certificado'!$B$53</definedName>
    <definedName name="Actividad10">'Datos académicos certificado'!$B$116</definedName>
    <definedName name="Actividad2">'Datos académicos certificado'!$B$60</definedName>
    <definedName name="Actividad3">'Datos académicos certificado'!$B$67</definedName>
    <definedName name="Actividad4">'Datos académicos certificado'!$B$74</definedName>
    <definedName name="Actividad5">'Datos académicos certificado'!$B$81</definedName>
    <definedName name="Actividad6">'Datos académicos certificado'!$B$88</definedName>
    <definedName name="Actividad7">'Datos académicos certificado'!$B$95</definedName>
    <definedName name="Actividad8">'Datos académicos certificado'!$B$102</definedName>
    <definedName name="Actividad9">'Datos académicos certificado'!$B$109</definedName>
    <definedName name="ApoyoEst">'Datos para SGIC'!$A$15</definedName>
    <definedName name="_xlnm.Print_Area" localSheetId="2">'Datos académicos certificado'!$A$1:$E$161</definedName>
    <definedName name="_xlnm.Print_Area" localSheetId="0">'Datos generales'!$A$1:$E$133</definedName>
    <definedName name="_xlnm.Print_Area" localSheetId="7">'Datos para SGIC'!$A$1:$F$60</definedName>
    <definedName name="_xlnm.Print_Area" localSheetId="8">'Informe de autoevaluación'!$A$1:$C$118</definedName>
    <definedName name="_xlnm.Print_Area" localSheetId="4">'Memoria académica'!$A$1:$F$56</definedName>
    <definedName name="_xlnm.Print_Area" localSheetId="6">'Memoria económica'!$A$1:$E$144</definedName>
    <definedName name="_xlnm.Print_Area" localSheetId="5">'Personal docente y de apoyo'!$A$1:$J$112</definedName>
    <definedName name="_xlnm.Print_Area" localSheetId="9">'Resumen errores'!$A$1:$J$64</definedName>
    <definedName name="Becas.financiador">'Memoria económica'!$C$28</definedName>
    <definedName name="Codir.DNI">'Datos generales'!$B$90</definedName>
    <definedName name="Codir.Email">'Datos generales'!$D$90</definedName>
    <definedName name="Codir.Entidad">'Datos generales'!$B$91</definedName>
    <definedName name="Codir.Tel">'Datos generales'!$E$89</definedName>
    <definedName name="CodirNom">'Datos generales'!$B$89</definedName>
    <definedName name="Contenidos">'Memoria académica'!$A$16</definedName>
    <definedName name="Convenio.Fecha">'Datos generales'!$D$78</definedName>
    <definedName name="Coord.Tel">'Datos para SGIC'!$E$11</definedName>
    <definedName name="CoordNom">'Datos para SGIC'!$B$10</definedName>
    <definedName name="Cord.email">'Datos para SGIC'!$B$11</definedName>
    <definedName name="Créditos">'Datos generales'!$B$32</definedName>
    <definedName name="Crit.Admisión">'Datos generales'!$A$62</definedName>
    <definedName name="Crit.Calif">'Memoria académica'!$A$41</definedName>
    <definedName name="CritSelección">'Datos generales'!$A$65</definedName>
    <definedName name="Curso">'Datos generales'!$E$16</definedName>
    <definedName name="Demanda.Est">'Datos para SGIC'!$E$26</definedName>
    <definedName name="Derecho1">'Datos derechos (opcional)'!$B$11</definedName>
    <definedName name="Derecho1.Desc">'Datos derechos (opcional)'!$B$12</definedName>
    <definedName name="Derecho1.Estado">'Datos derechos (opcional)'!$B$15</definedName>
    <definedName name="Derecho1.Otorgado">'Datos derechos (opcional)'!$B$13</definedName>
    <definedName name="Derecho1.Tipo">'Datos derechos (opcional)'!$B$14</definedName>
    <definedName name="Derecho1.Valido">'Datos derechos (opcional)'!$B$16</definedName>
    <definedName name="Derecho13Otorgado">'Datos derechos (opcional)'!#REF!</definedName>
    <definedName name="Derecho2">'Datos derechos (opcional)'!$B$18</definedName>
    <definedName name="Derecho2.Desc">'Datos derechos (opcional)'!$B$19</definedName>
    <definedName name="Derecho2.Estado">'Datos derechos (opcional)'!$B$22</definedName>
    <definedName name="Derecho2.Otorgado">'Datos derechos (opcional)'!$B$20</definedName>
    <definedName name="Derecho2.Tipo">'Datos derechos (opcional)'!$B$21</definedName>
    <definedName name="Derecho2.Valido">'Datos derechos (opcional)'!$B$23</definedName>
    <definedName name="Derecho3">'Datos derechos (opcional)'!$B$25</definedName>
    <definedName name="Derecho3.Desc">'Datos derechos (opcional)'!$B$26</definedName>
    <definedName name="Derecho3.Estado">'Datos derechos (opcional)'!$B$29</definedName>
    <definedName name="Derecho3.Otorgado">'Datos derechos (opcional)'!$B$27</definedName>
    <definedName name="Derecho3.Tipo">'Datos derechos (opcional)'!$B$28</definedName>
    <definedName name="Derecho3.Valido">'Datos derechos (opcional)'!$B$30</definedName>
    <definedName name="Derecho4">'Datos derechos (opcional)'!$B$32</definedName>
    <definedName name="Derecho4.Desc">'Datos derechos (opcional)'!$B$33</definedName>
    <definedName name="Derecho4.Estado">'Datos derechos (opcional)'!$B$36</definedName>
    <definedName name="Derecho4.Otorgado">'Datos derechos (opcional)'!$B$34</definedName>
    <definedName name="Derecho4.Tipo">'Datos derechos (opcional)'!$B$35</definedName>
    <definedName name="Derecho4.Valido">'Datos derechos (opcional)'!$B$37</definedName>
    <definedName name="Derecho5">'Datos derechos (opcional)'!$B$39</definedName>
    <definedName name="Derecho5.Desc">'Datos derechos (opcional)'!$B$40</definedName>
    <definedName name="Derecho5.Estado">'Datos derechos (opcional)'!$B$43</definedName>
    <definedName name="Derecho5.Otorgado">'Datos derechos (opcional)'!$B$41</definedName>
    <definedName name="Derecho5.Tipo">'Datos derechos (opcional)'!$B$42</definedName>
    <definedName name="Derecho5.Valido">'Datos derechos (opcional)'!$B$44</definedName>
    <definedName name="DescAct1">'Datos académicos certificado'!$B$54</definedName>
    <definedName name="DescAct10">'Datos académicos certificado'!$B$117</definedName>
    <definedName name="DescAct2">'Datos académicos certificado'!$B$61</definedName>
    <definedName name="DescAct3">'Datos académicos certificado'!$B$68</definedName>
    <definedName name="DescAct4">'Datos académicos certificado'!$B$75</definedName>
    <definedName name="DescAct5">'Datos académicos certificado'!$B$82</definedName>
    <definedName name="DescAct6">'Datos académicos certificado'!$B$89</definedName>
    <definedName name="DescAct7">'Datos académicos certificado'!$B$96</definedName>
    <definedName name="DescAct8">'Datos académicos certificado'!$B$103</definedName>
    <definedName name="DescAct9">'Datos académicos certificado'!$B$110</definedName>
    <definedName name="Descripción">'Datos generales'!$A$43</definedName>
    <definedName name="Descuento.Otros">'Memoria económica'!$B$23</definedName>
    <definedName name="Descuento.UO">'Memoria económica'!$B$21</definedName>
    <definedName name="Descuento.Vulne">'Memoria económica'!$B$19</definedName>
    <definedName name="Destinatarios">'Datos generales'!$A$59</definedName>
    <definedName name="Diferencia.ECTS">'Personal docente y de apoyo'!$J$92</definedName>
    <definedName name="Diferencia.Horas.Actividad">'Personal docente y de apoyo'!$H$90</definedName>
    <definedName name="Dir.Area">'Datos generales'!$B$87</definedName>
    <definedName name="Dir.Cat">'Datos generales'!$B$86</definedName>
    <definedName name="Dir.Email">'Datos generales'!$D$85</definedName>
    <definedName name="Dir.Tel">'Datos generales'!$E$84</definedName>
    <definedName name="DirAct1">'Datos académicos certificado'!$B$56</definedName>
    <definedName name="DirAct10">'Datos académicos certificado'!$B$119</definedName>
    <definedName name="DirAct2">'Datos académicos certificado'!$B$63</definedName>
    <definedName name="DirAct3">'Datos académicos certificado'!$B$70</definedName>
    <definedName name="DirAct4">'Datos académicos certificado'!$B$77</definedName>
    <definedName name="DirAct5">'Datos académicos certificado'!$B$84</definedName>
    <definedName name="DirAct6">'Datos académicos certificado'!$B$91</definedName>
    <definedName name="DirAct7">'Datos académicos certificado'!$B$98</definedName>
    <definedName name="DirAct8">'Datos académicos certificado'!$B$105</definedName>
    <definedName name="DirAct9">'Datos académicos certificado'!$B$112</definedName>
    <definedName name="DirDNI">'Datos generales'!$B$85</definedName>
    <definedName name="DirNombre">'Datos generales'!$B$84</definedName>
    <definedName name="Edición">'Datos generales'!$E$18</definedName>
    <definedName name="Emai.Info">'Datos generales'!$B$94</definedName>
    <definedName name="En.Colab">'Datos generales'!$B$69</definedName>
    <definedName name="En.Colab.Entidad">'Datos generales'!$C$70</definedName>
    <definedName name="Entorno">'Datos generales'!$B$30</definedName>
    <definedName name="EQF">'Datos generales'!$B$28</definedName>
    <definedName name="Equipo.docente">'Memoria académica'!$A$38</definedName>
    <definedName name="Error.Num.Est">'Memoria económica'!$D$44</definedName>
    <definedName name="Est.SinBeca">'Memoria económica'!$C$42</definedName>
    <definedName name="Eval1">'Datos académicos certificado'!$B$128</definedName>
    <definedName name="Eval1Calif">'Datos académicos certificado'!$B$133</definedName>
    <definedName name="Eval1Desc">'Datos académicos certificado'!$B$129</definedName>
    <definedName name="Eval1Mod">'Datos académicos certificado'!$B$131</definedName>
    <definedName name="Eval1Tipo">'Datos académicos certificado'!$B$130</definedName>
    <definedName name="Eval1Verif">'Datos académicos certificado'!$B$132</definedName>
    <definedName name="Eval2">'Datos académicos certificado'!$B$135</definedName>
    <definedName name="Eval2Calif">'Datos académicos certificado'!$B$140</definedName>
    <definedName name="Eval2Desc">'Datos académicos certificado'!$B$136</definedName>
    <definedName name="Eval2Mod">'Datos académicos certificado'!$B$138</definedName>
    <definedName name="Eval2Tipo">'Datos académicos certificado'!$B$137</definedName>
    <definedName name="Eval2Verif">'Datos académicos certificado'!$B$139</definedName>
    <definedName name="Eval3">'Datos académicos certificado'!$B$142</definedName>
    <definedName name="Eval3Calif">'Datos académicos certificado'!$B$147</definedName>
    <definedName name="Eval3Desc">'Datos académicos certificado'!$B$143</definedName>
    <definedName name="Eval3Mod">'Datos académicos certificado'!$B$145</definedName>
    <definedName name="Eval3Tipo">'Datos académicos certificado'!$B$144</definedName>
    <definedName name="Eval3Verif">'Datos académicos certificado'!$B$146</definedName>
    <definedName name="Eval4">'Datos académicos certificado'!$B$149</definedName>
    <definedName name="Eval4Calif">'Datos académicos certificado'!$B$154</definedName>
    <definedName name="Eval4Desc">'Datos académicos certificado'!$B$150</definedName>
    <definedName name="Eval4Mod">'Datos académicos certificado'!$B$152</definedName>
    <definedName name="Eval4Tipo">'Datos académicos certificado'!$B$151</definedName>
    <definedName name="Eval4Verif">'Datos académicos certificado'!$B$153</definedName>
    <definedName name="Eval5">'Datos académicos certificado'!$B$156</definedName>
    <definedName name="Eval5Calif">'Datos académicos certificado'!$B$161</definedName>
    <definedName name="Eval5Desc">'Datos académicos certificado'!$B$157</definedName>
    <definedName name="Eval5Mod">'Datos académicos certificado'!$B$159</definedName>
    <definedName name="Eval5Tipo">'Datos académicos certificado'!$B$158</definedName>
    <definedName name="Eval5Verif">'Datos académicos certificado'!$B$160</definedName>
    <definedName name="Existe.Otra.Oferta">'Memoria académica'!$A$52</definedName>
    <definedName name="Gest.Ext.Nom">'Datos generales'!$C$75</definedName>
    <definedName name="Gestion.Ext">'Datos generales'!$B$74</definedName>
    <definedName name="Horario">'Datos generales'!$B$103</definedName>
    <definedName name="Horas1">'Datos académicos certificado'!$D$58</definedName>
    <definedName name="Horas10">'Datos académicos certificado'!$D$121</definedName>
    <definedName name="Horas2">'Datos académicos certificado'!$D$65</definedName>
    <definedName name="Horas3">'Datos académicos certificado'!$D$72</definedName>
    <definedName name="Horas4">'Datos académicos certificado'!$D$79</definedName>
    <definedName name="Horas5">'Datos académicos certificado'!$D$86</definedName>
    <definedName name="Horas6">'Datos académicos certificado'!$D$93</definedName>
    <definedName name="Horas7">'Datos académicos certificado'!$D$100</definedName>
    <definedName name="Horas8">'Datos académicos certificado'!$D$107</definedName>
    <definedName name="Horas9">'Datos académicos certificado'!$D$114</definedName>
    <definedName name="HorasLectivas">'Datos generales'!$B$34</definedName>
    <definedName name="HorasTotales">'Datos generales'!$D$32</definedName>
    <definedName name="HProf1">'Datos académicos certificado'!$D$57</definedName>
    <definedName name="HProf10">'Datos académicos certificado'!$D$120</definedName>
    <definedName name="HProf2">'Datos académicos certificado'!$D$64</definedName>
    <definedName name="HProf3">'Datos académicos certificado'!$D$71</definedName>
    <definedName name="HProf4">'Datos académicos certificado'!$D$78</definedName>
    <definedName name="HProf5">'Datos académicos certificado'!$D$85</definedName>
    <definedName name="HProf6">'Datos académicos certificado'!$D$92</definedName>
    <definedName name="HProf7">'Datos académicos certificado'!$D$99</definedName>
    <definedName name="HProf8">'Datos académicos certificado'!$D$106</definedName>
    <definedName name="HProf9">'Datos académicos certificado'!$D$113</definedName>
    <definedName name="Idioma">'Datos generales'!$B$18</definedName>
    <definedName name="Impart.Fin">'Datos generales'!$D$107</definedName>
    <definedName name="Impart.Ini">'Datos generales'!$B$107</definedName>
    <definedName name="Importe.Beca">'Memoria económica'!$C$30</definedName>
    <definedName name="ISCED">'Datos generales'!$B$26</definedName>
    <definedName name="Justi.Demanda.Segunda">'Datos para SGIC'!$A$46</definedName>
    <definedName name="Justi.Estim.Cal">'Datos para SGIC'!$A$41</definedName>
    <definedName name="Justi.Profesorado">'Personal docente y de apoyo'!$C$112</definedName>
    <definedName name="Justificación">'Datos generales'!$A$46</definedName>
    <definedName name="Lugar">'Datos generales'!$B$99</definedName>
    <definedName name="Matric.Fin">'Datos generales'!$D$106</definedName>
    <definedName name="Matric.Ini">'Datos generales'!$B$106</definedName>
    <definedName name="Min.Estud">'Datos generales'!$B$38</definedName>
    <definedName name="ModAct1">'Datos académicos certificado'!$D$55</definedName>
    <definedName name="ModAct10">'Datos académicos certificado'!$D$118</definedName>
    <definedName name="ModAct2">'Datos académicos certificado'!$D$62</definedName>
    <definedName name="ModAct3">'Datos académicos certificado'!$D$69</definedName>
    <definedName name="ModAct4">'Datos académicos certificado'!$D$76</definedName>
    <definedName name="ModAct5">'Datos académicos certificado'!$D$83</definedName>
    <definedName name="ModAct6">'Datos académicos certificado'!$D$90</definedName>
    <definedName name="ModAct7">'Datos académicos certificado'!$D$97</definedName>
    <definedName name="ModAct8">'Datos académicos certificado'!$D$104</definedName>
    <definedName name="ModAct9">'Datos académicos certificado'!$D$111</definedName>
    <definedName name="Modalidad">'Datos generales'!$B$16</definedName>
    <definedName name="N.Descuento.Otros">'Memoria económica'!$C$23</definedName>
    <definedName name="N.Descuento.UO">'Memoria económica'!$C$21</definedName>
    <definedName name="N.Descuento.Vulne">'Memoria económica'!$C$19</definedName>
    <definedName name="N.Est.Becados">'Memoria económica'!$B$30</definedName>
    <definedName name="NumPlazas">'Datos generales'!#REF!</definedName>
    <definedName name="ODS">'Datos generales'!$B$52</definedName>
    <definedName name="OtraAsigNom">'Datos generales'!$B$50</definedName>
    <definedName name="OtraOfertaCod">'Datos generales'!$E$49</definedName>
    <definedName name="OtraOfertaNom">'Datos generales'!$B$49</definedName>
    <definedName name="ParteOtraOferta">'Datos generales'!$C$48</definedName>
    <definedName name="Perf.Egreso">'Datos generales'!#REF!</definedName>
    <definedName name="PerfEgreso">'Datos generales'!#REF!</definedName>
    <definedName name="Periodicidad">'Datos generales'!$E$20</definedName>
    <definedName name="Planificación">'Memoria académica'!$A$13</definedName>
    <definedName name="PlatVirtual">'Datos generales'!$B$101</definedName>
    <definedName name="Plazas.Ant">'Datos generales'!$D$36</definedName>
    <definedName name="Plazas.Tot">'Datos generales'!$B$36</definedName>
    <definedName name="Precio">'Datos generales'!$B$40</definedName>
    <definedName name="Precio.Anterior">'Datos generales'!$D$40</definedName>
    <definedName name="Precio.Dif">'Datos generales'!#REF!</definedName>
    <definedName name="Preins.Fin">'Datos generales'!$D$105</definedName>
    <definedName name="Preins.Ini">'Datos generales'!$B$105</definedName>
    <definedName name="Prof.Int.Porcentaje">'Personal docente y de apoyo'!$G$105</definedName>
    <definedName name="Promotores">'Datos generales'!$B$72</definedName>
    <definedName name="Prop.Mejora">'Datos para SGIC'!$A$48</definedName>
    <definedName name="R.A.1">'Datos académicos certificado'!$B$16</definedName>
    <definedName name="R.A.2">'Datos académicos certificado'!$B$22</definedName>
    <definedName name="R.A.3">'Datos académicos certificado'!$B$28</definedName>
    <definedName name="R.A.4">'Datos académicos certificado'!$B$34</definedName>
    <definedName name="R.A.5">'Datos académicos certificado'!$B$40</definedName>
    <definedName name="RA1.ESCO">'Datos académicos certificado'!$B$19</definedName>
    <definedName name="RA1.OCap">'Datos académicos certificado'!$B$20</definedName>
    <definedName name="RA1.Reut">'Datos académicos certificado'!$B$18</definedName>
    <definedName name="RA1.Tipo">'Datos académicos certificado'!$B$17</definedName>
    <definedName name="RA2.ESCO">'Datos académicos certificado'!$B$25</definedName>
    <definedName name="RA2.OCap">'Datos académicos certificado'!$B$26</definedName>
    <definedName name="RA2.Reut">'Datos académicos certificado'!$B$24</definedName>
    <definedName name="RA2.Tipo">'Datos académicos certificado'!$B$23</definedName>
    <definedName name="RA3.ESCO">'Datos académicos certificado'!$B$31</definedName>
    <definedName name="RA3.OCap">'Datos académicos certificado'!$B$32</definedName>
    <definedName name="RA3.Reut">'Datos académicos certificado'!$B$30</definedName>
    <definedName name="RA3.Tipo">'Datos académicos certificado'!$B$29</definedName>
    <definedName name="RA4.ESCO">'Datos académicos certificado'!$B$37</definedName>
    <definedName name="RA4.OCap">'Datos académicos certificado'!$B$38</definedName>
    <definedName name="RA4.Reut">'Datos académicos certificado'!$B$36</definedName>
    <definedName name="RA4.Tipo">'Datos académicos certificado'!$B$35</definedName>
    <definedName name="RA5.ESCO">'Datos académicos certificado'!$B$43</definedName>
    <definedName name="RA5.OCap">'Datos académicos certificado'!$B$44</definedName>
    <definedName name="RA5.Reut">'Datos académicos certificado'!$B$42</definedName>
    <definedName name="RA5.Tipo">'Datos académicos certificado'!$B$41</definedName>
    <definedName name="Rama">'Datos generales'!#REF!</definedName>
    <definedName name="Rama.Artes">'Datos generales'!$C$20</definedName>
    <definedName name="Rama.CCSS">'Datos generales'!$C$23</definedName>
    <definedName name="Rama.Ciencias">'Datos generales'!$C$21</definedName>
    <definedName name="Rama.CSalud">'Datos generales'!$C$22</definedName>
    <definedName name="Rama.Ing">'Datos generales'!$C$24</definedName>
    <definedName name="Recursos">'Memoria académica'!$A$35</definedName>
    <definedName name="Satis.Empl">'Datos para SGIC'!$E$29</definedName>
    <definedName name="Satis.Est">'Datos para SGIC'!$E$27</definedName>
    <definedName name="Satis.Prof">'Datos para SGIC'!$E$28</definedName>
    <definedName name="SIGC.Adición">'Datos generales'!#REF!</definedName>
    <definedName name="Subv1.Importe">'Memoria económica'!$E$33</definedName>
    <definedName name="Subv1.Nombre">'Memoria económica'!$B$33</definedName>
    <definedName name="Subv2.Importe">'Memoria económica'!$E$35</definedName>
    <definedName name="Subv2.Nombre">'Memoria económica'!$B$35</definedName>
    <definedName name="Subv3.Importe">'Memoria económica'!$E$37</definedName>
    <definedName name="Subv3.Nombre">'Memoria económica'!$B$37</definedName>
    <definedName name="Suma.Estud">'Memoria económica'!$C$44</definedName>
    <definedName name="Suma.Eval">'Memoria académica'!$F$49</definedName>
    <definedName name="Tasa.Aban">'Datos para SGIC'!$E$25</definedName>
    <definedName name="Tasa.Grad">'Datos para SGIC'!$E$24</definedName>
    <definedName name="Tel.Info">'Datos generales'!$B$95</definedName>
    <definedName name="Texto117" localSheetId="7">'Datos para SGIC'!$D$25</definedName>
    <definedName name="Texto118" localSheetId="7">'Datos para SGIC'!$D$27</definedName>
    <definedName name="TipoAct1">'Datos académicos certificado'!#REF!</definedName>
    <definedName name="TipoApren1">'Datos académicos certificado'!$B$55</definedName>
    <definedName name="TipoApren10">'Datos académicos certificado'!$B$118</definedName>
    <definedName name="TipoApren2">'Datos académicos certificado'!$B$62</definedName>
    <definedName name="TipoApren3">'Datos académicos certificado'!$B$69</definedName>
    <definedName name="TipoApren4">'Datos académicos certificado'!$B$76</definedName>
    <definedName name="TipoApren5">'Datos académicos certificado'!$B$83</definedName>
    <definedName name="TipoApren6">'Datos académicos certificado'!$B$90</definedName>
    <definedName name="TipoApren7">'Datos académicos certificado'!$B$97</definedName>
    <definedName name="TipoApren8">'Datos académicos certificado'!$B$104</definedName>
    <definedName name="TipoApren9">'Datos académicos certificado'!$B$111</definedName>
    <definedName name="TipoDAct1">'Datos académicos certificado'!$D$56</definedName>
    <definedName name="TipoDAct10">'Datos académicos certificado'!$D$119</definedName>
    <definedName name="TipoDAct2">'Datos académicos certificado'!$D$63</definedName>
    <definedName name="TipoDAct3">'Datos académicos certificado'!$D$70</definedName>
    <definedName name="TipoDAct4">'Datos académicos certificado'!$D$77</definedName>
    <definedName name="TipoDAct5">'Datos académicos certificado'!$D$84</definedName>
    <definedName name="TipoDAct6">'Datos académicos certificado'!$D$91</definedName>
    <definedName name="TipoDAct7">'Datos académicos certificado'!$D$98</definedName>
    <definedName name="TipoDAct8">'Datos académicos certificado'!$D$105</definedName>
    <definedName name="TipoDAct9">'Datos académicos certificado'!$D$112</definedName>
    <definedName name="TitPrevia">'Datos generales'!$B$56</definedName>
    <definedName name="Titulo.Inglés">'Datos generales'!$B$14</definedName>
    <definedName name="TítuloMU">'Datos generales'!$B$12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5" l="1"/>
  <c r="B58" i="5"/>
  <c r="B48" i="5"/>
  <c r="E118" i="2"/>
  <c r="B80" i="4"/>
  <c r="E77" i="2"/>
  <c r="I89" i="4"/>
  <c r="I88" i="4"/>
  <c r="I87" i="4"/>
  <c r="I86" i="4"/>
  <c r="I85" i="4"/>
  <c r="E73" i="2"/>
  <c r="E68" i="2"/>
  <c r="D63" i="2"/>
  <c r="D62" i="2"/>
  <c r="C14" i="2"/>
  <c r="C13" i="2"/>
  <c r="D42" i="2"/>
  <c r="D30" i="2"/>
  <c r="E30" i="2" s="1"/>
  <c r="D90" i="2" l="1"/>
  <c r="V11" i="7"/>
  <c r="V18" i="7"/>
  <c r="V25" i="7"/>
  <c r="V32" i="7"/>
  <c r="V39" i="7"/>
  <c r="A5" i="7"/>
  <c r="A7" i="3"/>
  <c r="U19" i="1"/>
  <c r="B12" i="5" s="1"/>
  <c r="B16" i="5"/>
  <c r="U32" i="1"/>
  <c r="U48" i="1"/>
  <c r="U70" i="1"/>
  <c r="B21" i="5" s="1"/>
  <c r="U74" i="1"/>
  <c r="B22" i="5" s="1"/>
  <c r="B18" i="5"/>
  <c r="B17" i="5"/>
  <c r="B25" i="5"/>
  <c r="U62" i="1"/>
  <c r="U14" i="1"/>
  <c r="B59" i="5"/>
  <c r="W40" i="3"/>
  <c r="E6" i="2"/>
  <c r="W156" i="3"/>
  <c r="W149" i="3"/>
  <c r="W142" i="3"/>
  <c r="W135" i="3"/>
  <c r="W116" i="3"/>
  <c r="W128" i="3"/>
  <c r="B34" i="5" s="1"/>
  <c r="W109" i="3"/>
  <c r="W102" i="3"/>
  <c r="W95" i="3"/>
  <c r="W88" i="3"/>
  <c r="W74" i="3"/>
  <c r="W67" i="3"/>
  <c r="W81" i="3"/>
  <c r="W60" i="3"/>
  <c r="W53" i="3"/>
  <c r="B32" i="5" s="1"/>
  <c r="W34" i="3"/>
  <c r="W16" i="3"/>
  <c r="B30" i="5" s="1"/>
  <c r="W28" i="3"/>
  <c r="W22" i="3"/>
  <c r="V65" i="4"/>
  <c r="V66" i="4"/>
  <c r="V67" i="4"/>
  <c r="V68" i="4"/>
  <c r="V69" i="4"/>
  <c r="V70" i="4"/>
  <c r="V71" i="4"/>
  <c r="V72" i="4"/>
  <c r="V73" i="4"/>
  <c r="V64" i="4"/>
  <c r="B41" i="5"/>
  <c r="B52" i="5"/>
  <c r="B57" i="5"/>
  <c r="B60" i="5"/>
  <c r="B63" i="5"/>
  <c r="U107" i="1"/>
  <c r="U106" i="1"/>
  <c r="U105" i="1"/>
  <c r="U103" i="1"/>
  <c r="U101" i="1"/>
  <c r="U99" i="1"/>
  <c r="U98" i="1"/>
  <c r="U91" i="1"/>
  <c r="U90" i="1"/>
  <c r="U89" i="1"/>
  <c r="U26" i="1"/>
  <c r="B13" i="5" s="1"/>
  <c r="U50" i="1"/>
  <c r="U49" i="1"/>
  <c r="U88" i="1"/>
  <c r="U85" i="1"/>
  <c r="U83" i="1"/>
  <c r="U84" i="1"/>
  <c r="U82" i="1"/>
  <c r="U86" i="1"/>
  <c r="U87" i="1"/>
  <c r="U52" i="1"/>
  <c r="U46" i="1"/>
  <c r="U59" i="1"/>
  <c r="U56" i="1"/>
  <c r="U43" i="1"/>
  <c r="U15" i="1"/>
  <c r="U31" i="1"/>
  <c r="B15" i="5" s="1"/>
  <c r="U30" i="1"/>
  <c r="B14" i="5" s="1"/>
  <c r="U18" i="1"/>
  <c r="U16" i="1"/>
  <c r="U12" i="1"/>
  <c r="A6" i="13"/>
  <c r="A144" i="2"/>
  <c r="A118" i="1"/>
  <c r="C118" i="1"/>
  <c r="AJ86" i="1"/>
  <c r="D32" i="1"/>
  <c r="A5" i="11"/>
  <c r="D21" i="8"/>
  <c r="E106" i="4" a="1"/>
  <c r="E106" i="4" s="1"/>
  <c r="E105" i="4" a="1"/>
  <c r="E105" i="4" s="1"/>
  <c r="D23" i="2"/>
  <c r="E23" i="2" s="1"/>
  <c r="A8" i="2"/>
  <c r="A5" i="4"/>
  <c r="A7" i="8"/>
  <c r="E89" i="4"/>
  <c r="H89" i="4" s="1"/>
  <c r="D89" i="4"/>
  <c r="B89" i="4"/>
  <c r="F89" i="4" s="1"/>
  <c r="E88" i="4"/>
  <c r="H88" i="4" s="1"/>
  <c r="D88" i="4"/>
  <c r="B88" i="4"/>
  <c r="F88" i="4" s="1"/>
  <c r="E87" i="4"/>
  <c r="D87" i="4"/>
  <c r="B87" i="4"/>
  <c r="F87" i="4" s="1"/>
  <c r="E86" i="4"/>
  <c r="D86" i="4"/>
  <c r="B86" i="4"/>
  <c r="F86" i="4" s="1"/>
  <c r="E85" i="4"/>
  <c r="H85" i="4" s="1"/>
  <c r="D85" i="4"/>
  <c r="B85" i="4"/>
  <c r="F85" i="4" s="1"/>
  <c r="E84" i="4" a="1"/>
  <c r="E84" i="4" s="1"/>
  <c r="D84" i="4" a="1"/>
  <c r="D84" i="4" s="1"/>
  <c r="B84" i="4"/>
  <c r="E83" i="4" a="1"/>
  <c r="E83" i="4" s="1"/>
  <c r="D83" i="4" a="1"/>
  <c r="D83" i="4" s="1"/>
  <c r="B83" i="4"/>
  <c r="E82" i="4" a="1"/>
  <c r="E82" i="4" s="1"/>
  <c r="D82" i="4" a="1"/>
  <c r="D82" i="4" s="1"/>
  <c r="B82" i="4"/>
  <c r="E81" i="4" a="1"/>
  <c r="E81" i="4" s="1"/>
  <c r="D81" i="4" a="1"/>
  <c r="D81" i="4" s="1"/>
  <c r="B81" i="4"/>
  <c r="I81" i="4" s="1"/>
  <c r="E80" i="4"/>
  <c r="D80" i="4"/>
  <c r="F80" i="4"/>
  <c r="D30" i="8"/>
  <c r="D29" i="8"/>
  <c r="D28" i="8"/>
  <c r="D27" i="8"/>
  <c r="D26" i="8"/>
  <c r="C30" i="8"/>
  <c r="C29" i="8"/>
  <c r="C28" i="8"/>
  <c r="C27" i="8"/>
  <c r="C26" i="8"/>
  <c r="B30" i="8"/>
  <c r="F30" i="8" s="1"/>
  <c r="B29" i="8"/>
  <c r="F29" i="8" s="1"/>
  <c r="B28" i="8"/>
  <c r="F28" i="8" s="1"/>
  <c r="B27" i="8"/>
  <c r="F27" i="8" s="1"/>
  <c r="B26" i="8"/>
  <c r="F26" i="8" s="1"/>
  <c r="D25" i="8" a="1"/>
  <c r="D25" i="8" s="1"/>
  <c r="C25" i="8" a="1"/>
  <c r="C25" i="8" s="1"/>
  <c r="B25" i="8"/>
  <c r="F49" i="8"/>
  <c r="B42" i="5" s="1"/>
  <c r="J57" i="4"/>
  <c r="J31" i="4"/>
  <c r="F82" i="4" l="1" a="1"/>
  <c r="F82" i="4" s="1"/>
  <c r="I82" i="4"/>
  <c r="F83" i="4" a="1"/>
  <c r="F83" i="4" s="1"/>
  <c r="I83" i="4"/>
  <c r="F25" i="8" a="1"/>
  <c r="F25" i="8" s="1"/>
  <c r="F84" i="4" a="1"/>
  <c r="F84" i="4" s="1"/>
  <c r="H84" i="4" s="1"/>
  <c r="I84" i="4"/>
  <c r="G82" i="4"/>
  <c r="H82" i="4" s="1"/>
  <c r="G81" i="4"/>
  <c r="I80" i="4"/>
  <c r="G80" i="4"/>
  <c r="G89" i="4"/>
  <c r="G88" i="4"/>
  <c r="G87" i="4"/>
  <c r="G86" i="4"/>
  <c r="G85" i="4"/>
  <c r="G84" i="4"/>
  <c r="G83" i="4"/>
  <c r="H83" i="4" s="1"/>
  <c r="W83" i="1"/>
  <c r="B23" i="5" s="1"/>
  <c r="W59" i="1"/>
  <c r="B20" i="5" s="1"/>
  <c r="V10" i="7"/>
  <c r="B38" i="5" s="1"/>
  <c r="V74" i="4"/>
  <c r="B46" i="5" s="1"/>
  <c r="W48" i="1"/>
  <c r="B19" i="5" s="1"/>
  <c r="W105" i="1"/>
  <c r="B27" i="5" s="1"/>
  <c r="W88" i="1"/>
  <c r="W129" i="3"/>
  <c r="B35" i="5" s="1"/>
  <c r="W58" i="3"/>
  <c r="B33" i="5" s="1"/>
  <c r="W45" i="3"/>
  <c r="B31" i="5" s="1"/>
  <c r="W99" i="1"/>
  <c r="B26" i="5" s="1"/>
  <c r="W12" i="1"/>
  <c r="B11" i="5" s="1"/>
  <c r="E30" i="8"/>
  <c r="E107" i="4"/>
  <c r="D19" i="2"/>
  <c r="E19" i="2" s="1"/>
  <c r="D21" i="2"/>
  <c r="E21" i="2" s="1"/>
  <c r="H87" i="4"/>
  <c r="E26" i="8"/>
  <c r="H86" i="4"/>
  <c r="E27" i="8"/>
  <c r="E28" i="8"/>
  <c r="E29" i="8"/>
  <c r="F81" i="4" a="1"/>
  <c r="F81" i="4" s="1"/>
  <c r="E25" i="8" a="1"/>
  <c r="E25" i="8" s="1"/>
  <c r="G90" i="4" l="1"/>
  <c r="F90" i="4"/>
  <c r="H81" i="4"/>
  <c r="H80" i="4"/>
  <c r="I90" i="4"/>
  <c r="H90" i="4" l="1"/>
  <c r="B47" i="5" s="1"/>
  <c r="D48" i="8" l="1"/>
  <c r="D47" i="8"/>
  <c r="D46" i="8"/>
  <c r="D45" i="8"/>
  <c r="D44" i="8"/>
  <c r="B48" i="8"/>
  <c r="C48" i="8" s="1"/>
  <c r="B47" i="8"/>
  <c r="C47" i="8" s="1"/>
  <c r="B46" i="8"/>
  <c r="C46" i="8" s="1"/>
  <c r="B45" i="8"/>
  <c r="C45" i="8" s="1"/>
  <c r="B44" i="8"/>
  <c r="C44" i="8" s="1"/>
  <c r="J90" i="4"/>
  <c r="J92" i="4" s="1"/>
  <c r="B24" i="8"/>
  <c r="B23" i="8"/>
  <c r="F23" i="8" s="1" a="1"/>
  <c r="F23" i="8" s="1"/>
  <c r="B22" i="8"/>
  <c r="D24" i="8" a="1"/>
  <c r="D24" i="8" s="1"/>
  <c r="D23" i="8" a="1"/>
  <c r="D23" i="8" s="1"/>
  <c r="D22" i="8" a="1"/>
  <c r="D22" i="8" s="1"/>
  <c r="C24" i="8" a="1"/>
  <c r="C24" i="8" s="1"/>
  <c r="C23" i="8" a="1"/>
  <c r="C23" i="8" s="1"/>
  <c r="C22" i="8" a="1"/>
  <c r="C22" i="8" s="1"/>
  <c r="C21" i="8"/>
  <c r="B21" i="8"/>
  <c r="I11" i="4" s="1"/>
  <c r="C25" i="2"/>
  <c r="C44" i="2" s="1"/>
  <c r="I12" i="4" l="1"/>
  <c r="V12" i="4" s="1"/>
  <c r="I13" i="4"/>
  <c r="V13" i="4" s="1"/>
  <c r="D44" i="2"/>
  <c r="B53" i="5"/>
  <c r="I52" i="4"/>
  <c r="V52" i="4" s="1"/>
  <c r="I55" i="4"/>
  <c r="V55" i="4" s="1"/>
  <c r="I26" i="4"/>
  <c r="V26" i="4" s="1"/>
  <c r="I40" i="4"/>
  <c r="V40" i="4" s="1"/>
  <c r="I44" i="4"/>
  <c r="V44" i="4" s="1"/>
  <c r="I15" i="4"/>
  <c r="V15" i="4" s="1"/>
  <c r="I24" i="4"/>
  <c r="V24" i="4" s="1"/>
  <c r="I27" i="4"/>
  <c r="V27" i="4" s="1"/>
  <c r="I53" i="4"/>
  <c r="V53" i="4" s="1"/>
  <c r="I42" i="4"/>
  <c r="V42" i="4" s="1"/>
  <c r="I56" i="4"/>
  <c r="V56" i="4" s="1"/>
  <c r="I22" i="4"/>
  <c r="V22" i="4" s="1"/>
  <c r="I14" i="4"/>
  <c r="I30" i="4"/>
  <c r="V30" i="4" s="1"/>
  <c r="I21" i="4"/>
  <c r="V21" i="4" s="1"/>
  <c r="I49" i="4"/>
  <c r="V49" i="4" s="1"/>
  <c r="I37" i="4"/>
  <c r="V37" i="4" s="1"/>
  <c r="I25" i="4"/>
  <c r="V25" i="4" s="1"/>
  <c r="I38" i="4"/>
  <c r="V38" i="4" s="1"/>
  <c r="I41" i="4"/>
  <c r="V41" i="4" s="1"/>
  <c r="I50" i="4"/>
  <c r="V50" i="4" s="1"/>
  <c r="I16" i="4"/>
  <c r="V16" i="4" s="1"/>
  <c r="I19" i="4"/>
  <c r="V19" i="4" s="1"/>
  <c r="I45" i="4"/>
  <c r="V45" i="4" s="1"/>
  <c r="I51" i="4"/>
  <c r="V51" i="4" s="1"/>
  <c r="I29" i="4"/>
  <c r="V29" i="4" s="1"/>
  <c r="I28" i="4"/>
  <c r="V28" i="4" s="1"/>
  <c r="I17" i="4"/>
  <c r="V17" i="4" s="1"/>
  <c r="I18" i="4"/>
  <c r="V18" i="4" s="1"/>
  <c r="I54" i="4"/>
  <c r="V54" i="4" s="1"/>
  <c r="I23" i="4"/>
  <c r="V23" i="4" s="1"/>
  <c r="I20" i="4"/>
  <c r="V20" i="4" s="1"/>
  <c r="I46" i="4"/>
  <c r="V46" i="4" s="1"/>
  <c r="I47" i="4"/>
  <c r="V47" i="4" s="1"/>
  <c r="I43" i="4"/>
  <c r="V43" i="4" s="1"/>
  <c r="I39" i="4"/>
  <c r="V39" i="4" s="1"/>
  <c r="I48" i="4"/>
  <c r="V48" i="4" s="1"/>
  <c r="V11" i="4"/>
  <c r="F21" i="8"/>
  <c r="E21" i="8"/>
  <c r="F24" i="8" a="1"/>
  <c r="F24" i="8" s="1"/>
  <c r="E24" i="8" a="1"/>
  <c r="E24" i="8" s="1"/>
  <c r="E23" i="8" a="1"/>
  <c r="E23" i="8" s="1"/>
  <c r="F22" i="8" a="1"/>
  <c r="F22" i="8" s="1"/>
  <c r="E22" i="8" a="1"/>
  <c r="E22" i="8" s="1"/>
  <c r="F96" i="4" l="1"/>
  <c r="V14" i="4"/>
  <c r="V58" i="4" s="1"/>
  <c r="B45" i="5" s="1"/>
  <c r="F99" i="4"/>
  <c r="H99" i="4" s="1"/>
  <c r="F97" i="4"/>
  <c r="F98" i="4"/>
  <c r="E31" i="8"/>
  <c r="A32" i="8" s="1"/>
  <c r="F31" i="8"/>
  <c r="C32" i="8" s="1"/>
  <c r="H98" i="4" l="1"/>
  <c r="F105" i="4"/>
  <c r="F106" i="4"/>
  <c r="H97" i="4"/>
  <c r="C63" i="2" s="1"/>
  <c r="F100" i="4"/>
  <c r="H96" i="4"/>
  <c r="F107" i="4" l="1"/>
  <c r="H100" i="4"/>
  <c r="C62" i="2"/>
  <c r="E59" i="2" s="1"/>
  <c r="E42" i="2"/>
  <c r="G105" i="4" l="1"/>
  <c r="B49" i="5" s="1"/>
  <c r="E90" i="2"/>
  <c r="C90" i="2"/>
  <c r="C115" i="2" s="1"/>
  <c r="G106" i="4"/>
  <c r="E25" i="2"/>
  <c r="D129" i="2" l="1"/>
  <c r="D121" i="2"/>
  <c r="E115" i="2"/>
  <c r="D128" i="2"/>
  <c r="C109" i="4"/>
  <c r="G107" i="4"/>
  <c r="C116" i="2"/>
  <c r="E116" i="2" l="1"/>
  <c r="B121" i="2"/>
  <c r="C119" i="2"/>
  <c r="B124" i="2" l="1"/>
  <c r="E124" i="2" s="1"/>
  <c r="E121" i="2"/>
  <c r="E119" i="2"/>
  <c r="D122" i="2" l="1"/>
  <c r="E122" i="2" s="1"/>
  <c r="E39" i="2" l="1"/>
  <c r="E47" i="2" s="1"/>
  <c r="E49" i="2" l="1"/>
  <c r="E51" i="2" s="1"/>
  <c r="E92" i="2" s="1"/>
  <c r="B131" i="2"/>
  <c r="B128" i="2" s="1"/>
  <c r="E128" i="2" s="1"/>
  <c r="E131" i="2" l="1"/>
  <c r="C93" i="2"/>
  <c r="B54" i="5"/>
  <c r="E12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<sst xmlns="http://schemas.openxmlformats.org/spreadsheetml/2006/main" count="972" uniqueCount="759">
  <si>
    <t>DATOS GENERALES</t>
  </si>
  <si>
    <t>A rellenar por el CIP:</t>
  </si>
  <si>
    <t>Fecha de entrada de la propuesta</t>
  </si>
  <si>
    <t>Fecha aprobación Consejo Social</t>
  </si>
  <si>
    <t>Modalidad de impartición</t>
  </si>
  <si>
    <t>Curso académico</t>
  </si>
  <si>
    <t>Idioma de impartición</t>
  </si>
  <si>
    <t>Ámbito temático (código ISCED-F)</t>
  </si>
  <si>
    <t xml:space="preserve">Créditos ECTS </t>
  </si>
  <si>
    <t>Diferencia</t>
  </si>
  <si>
    <t>Nº estudiantes</t>
  </si>
  <si>
    <t>Firma Director/a del curso</t>
  </si>
  <si>
    <t>Nombre y apellidos:</t>
  </si>
  <si>
    <t>Fecha y firma:</t>
  </si>
  <si>
    <t>INGRESOS</t>
  </si>
  <si>
    <t>DESCUENTOS</t>
  </si>
  <si>
    <t>Ingresos</t>
  </si>
  <si>
    <t xml:space="preserve">Total  </t>
  </si>
  <si>
    <t>FINANCIACIÓN EXTERNA</t>
  </si>
  <si>
    <t>Beca por estudiante</t>
  </si>
  <si>
    <t>Resto matrícula
a abonar</t>
  </si>
  <si>
    <t xml:space="preserve">SUBTOTAL </t>
  </si>
  <si>
    <t>Precio de la matrícula</t>
  </si>
  <si>
    <t>Total de estudiantes</t>
  </si>
  <si>
    <t>TOTAL INGRESOS BRUTOS</t>
  </si>
  <si>
    <t>TOTAL INGRESOS NETOS</t>
  </si>
  <si>
    <t>TOTAL GASTOS</t>
  </si>
  <si>
    <t>INGRESOS - GASTOS</t>
  </si>
  <si>
    <t xml:space="preserve">Nombre y apellidos: </t>
  </si>
  <si>
    <t>Modalidad</t>
  </si>
  <si>
    <t>Horas de docencia</t>
  </si>
  <si>
    <t>PROPUESTA DE MICROCREDENCIAL UNIVERSITARIA</t>
  </si>
  <si>
    <t>Entorno de aprendizaje</t>
  </si>
  <si>
    <t>Tipo</t>
  </si>
  <si>
    <t>Nivel de reutilización</t>
  </si>
  <si>
    <t>RESULTADOS DE APRENDIZAJE (mínimo 1, máximo 5)</t>
  </si>
  <si>
    <t>Tipo de actividad de aprendizaje</t>
  </si>
  <si>
    <t>DATOS ACADÉMICOS PARA LA CERTIFICACIÓN</t>
  </si>
  <si>
    <t>EVALUACIÓN (mínimo 1, máximo 5)</t>
  </si>
  <si>
    <t>Modo de evaluación</t>
  </si>
  <si>
    <t>Sistema de calificación</t>
  </si>
  <si>
    <t>DERECHOS PARA LA CERTIFICACIÓN  (completar solo si la certificación los lleva asociados)</t>
  </si>
  <si>
    <t>Requiere titulación universitaria previa</t>
  </si>
  <si>
    <t>En caso afirmativo, empresa o institución que realiza la gestión externa</t>
  </si>
  <si>
    <t>hasta</t>
  </si>
  <si>
    <t>Número mínimo de estudiantes</t>
  </si>
  <si>
    <t>Número total de plazas</t>
  </si>
  <si>
    <t>Firma Codirector/a del curso</t>
  </si>
  <si>
    <t>Fecha aprobación Comisión Ens. Propias</t>
  </si>
  <si>
    <t>Fecha aprobación Consejo de Gobierno</t>
  </si>
  <si>
    <t>A efectos de incluir en la publicidad de la oferta</t>
  </si>
  <si>
    <t>Número edición</t>
  </si>
  <si>
    <r>
      <t xml:space="preserve">Dirigida por </t>
    </r>
    <r>
      <rPr>
        <i/>
        <sz val="10"/>
        <color rgb="FF008080"/>
        <rFont val="Arial Narrow"/>
        <family val="2"/>
      </rPr>
      <t>(indicar si es la Universidad de Oviedo, un colaborador o ambos)</t>
    </r>
  </si>
  <si>
    <r>
      <t xml:space="preserve">Carga de trabajo en horas </t>
    </r>
    <r>
      <rPr>
        <i/>
        <sz val="10"/>
        <color rgb="FF008080"/>
        <rFont val="Arial Narrow"/>
        <family val="2"/>
      </rPr>
      <t>(Número real de horas que el estudiante ha dedicado a la actividad. Sólo se aceptan números positivos enteros; la suma de las actividades debe ser igual al número de ECTSx25)</t>
    </r>
  </si>
  <si>
    <r>
      <t xml:space="preserve">Evaluación 1 </t>
    </r>
    <r>
      <rPr>
        <i/>
        <sz val="10"/>
        <color rgb="FF008080"/>
        <rFont val="Arial Narrow"/>
        <family val="2"/>
      </rPr>
      <t>(ej. Portfolio, estudio de casos, presentación, examen, etc.)</t>
    </r>
  </si>
  <si>
    <r>
      <t xml:space="preserve">Descripción </t>
    </r>
    <r>
      <rPr>
        <i/>
        <sz val="10"/>
        <color rgb="FF008080"/>
        <rFont val="Arial Narrow"/>
        <family val="2"/>
      </rPr>
      <t>(opcional)</t>
    </r>
  </si>
  <si>
    <r>
      <t>Tipo de evaluación</t>
    </r>
    <r>
      <rPr>
        <i/>
        <sz val="12"/>
        <color theme="8" tint="-0.249977111117893"/>
        <rFont val="Arial Narrow"/>
        <family val="2"/>
      </rPr>
      <t xml:space="preserve"> </t>
    </r>
    <r>
      <rPr>
        <i/>
        <sz val="10"/>
        <color rgb="FF008080"/>
        <rFont val="Arial Narrow"/>
        <family val="2"/>
      </rPr>
      <t>(Evaluación formativa (continua) o tarea puntuable (final))</t>
    </r>
  </si>
  <si>
    <r>
      <t xml:space="preserve">Evaluación 5 </t>
    </r>
    <r>
      <rPr>
        <i/>
        <sz val="10"/>
        <color rgb="FF008080"/>
        <rFont val="Arial Narrow"/>
        <family val="2"/>
      </rPr>
      <t>(ej. Portfolio, estudio de casos, presentación, examen, etc.)</t>
    </r>
  </si>
  <si>
    <r>
      <t xml:space="preserve">Evaluación 4 </t>
    </r>
    <r>
      <rPr>
        <i/>
        <sz val="10"/>
        <color rgb="FF008080"/>
        <rFont val="Arial Narrow"/>
        <family val="2"/>
      </rPr>
      <t>(ej. Portfolio, estudio de casos, presentación, examen, etc.)</t>
    </r>
  </si>
  <si>
    <r>
      <t xml:space="preserve">Evaluación 3 </t>
    </r>
    <r>
      <rPr>
        <i/>
        <sz val="10"/>
        <color rgb="FF008080"/>
        <rFont val="Arial Narrow"/>
        <family val="2"/>
      </rPr>
      <t>(ej. Portfolio, estudio de casos, presentación, examen, etc.)</t>
    </r>
  </si>
  <si>
    <r>
      <t xml:space="preserve">Evaluación 2 </t>
    </r>
    <r>
      <rPr>
        <i/>
        <sz val="10"/>
        <color rgb="FF008080"/>
        <rFont val="Arial Narrow"/>
        <family val="2"/>
      </rPr>
      <t>(ej. Portfolio, estudio de casos, presentación, examen, etc.)</t>
    </r>
  </si>
  <si>
    <r>
      <t xml:space="preserve">Derecho 1 </t>
    </r>
    <r>
      <rPr>
        <i/>
        <sz val="10"/>
        <color rgb="FF008080"/>
        <rFont val="Arial Narrow"/>
        <family val="2"/>
      </rPr>
      <t>(A qué da derecho, nombre comercial o titulación a la que da acceso)</t>
    </r>
  </si>
  <si>
    <r>
      <t>Tipo de derecho</t>
    </r>
    <r>
      <rPr>
        <sz val="10"/>
        <color rgb="FF008080"/>
        <rFont val="Arial Narrow"/>
        <family val="2"/>
      </rPr>
      <t xml:space="preserve"> </t>
    </r>
    <r>
      <rPr>
        <i/>
        <sz val="10"/>
        <color rgb="FF008080"/>
        <rFont val="Arial Narrow"/>
        <family val="2"/>
      </rPr>
      <t>(opcional)</t>
    </r>
  </si>
  <si>
    <r>
      <t xml:space="preserve">Estado </t>
    </r>
    <r>
      <rPr>
        <i/>
        <sz val="10"/>
        <color rgb="FF008080"/>
        <rFont val="Arial Narrow"/>
        <family val="2"/>
      </rPr>
      <t>(Efectivo: da derecho a ejercer algo o prospectivo: da derecho a solicitar algo)</t>
    </r>
  </si>
  <si>
    <r>
      <t xml:space="preserve">Derecho válido en </t>
    </r>
    <r>
      <rPr>
        <i/>
        <sz val="10"/>
        <color rgb="FF008080"/>
        <rFont val="Arial Narrow"/>
        <family val="2"/>
      </rPr>
      <t>(Países en los que es válido el certificado, opcional)</t>
    </r>
  </si>
  <si>
    <r>
      <t xml:space="preserve">Derecho 5 </t>
    </r>
    <r>
      <rPr>
        <i/>
        <sz val="10"/>
        <color rgb="FF008080"/>
        <rFont val="Arial Narrow"/>
        <family val="2"/>
      </rPr>
      <t>(A qué da derecho, nombre comercial o titulación a la que da acceso)</t>
    </r>
  </si>
  <si>
    <r>
      <t xml:space="preserve">Derecho 4 </t>
    </r>
    <r>
      <rPr>
        <i/>
        <sz val="10"/>
        <color rgb="FF008080"/>
        <rFont val="Arial Narrow"/>
        <family val="2"/>
      </rPr>
      <t>(A qué da derecho, nombre comercial o titulación a la que da acceso)</t>
    </r>
  </si>
  <si>
    <r>
      <t xml:space="preserve">Derecho 3 </t>
    </r>
    <r>
      <rPr>
        <i/>
        <sz val="10"/>
        <color rgb="FF008080"/>
        <rFont val="Arial Narrow"/>
        <family val="2"/>
      </rPr>
      <t>(A qué da derecho, nombre comercial o titulación a la que da acceso)</t>
    </r>
  </si>
  <si>
    <r>
      <t xml:space="preserve">Derecho 2 </t>
    </r>
    <r>
      <rPr>
        <i/>
        <sz val="10"/>
        <color rgb="FF008080"/>
        <rFont val="Arial Narrow"/>
        <family val="2"/>
      </rPr>
      <t>(A qué da derecho, nombre comercial o titulación a la que da acceso)</t>
    </r>
  </si>
  <si>
    <r>
      <rPr>
        <b/>
        <sz val="12"/>
        <color theme="1"/>
        <rFont val="Arial Narrow"/>
        <family val="2"/>
      </rPr>
      <t>Organizadores/promotores</t>
    </r>
    <r>
      <rPr>
        <sz val="10"/>
        <color rgb="FF008080"/>
        <rFont val="Arial Narrow"/>
        <family val="2"/>
      </rPr>
      <t xml:space="preserve"> </t>
    </r>
    <r>
      <rPr>
        <i/>
        <sz val="10"/>
        <color rgb="FF008080"/>
        <rFont val="Arial Narrow"/>
        <family val="2"/>
      </rPr>
      <t>(Separados por comas, los organizadores de la microcredencial, SIN incluir a la Universidad de Oviedo)</t>
    </r>
  </si>
  <si>
    <t>Plataforma o entorno virtual</t>
  </si>
  <si>
    <r>
      <rPr>
        <b/>
        <sz val="12"/>
        <color theme="1"/>
        <rFont val="Arial Narrow"/>
        <family val="2"/>
      </rPr>
      <t>Objetivos de Desarrollo Sostenible</t>
    </r>
    <r>
      <rPr>
        <sz val="10"/>
        <color rgb="FF008080"/>
        <rFont val="Arial Narrow"/>
        <family val="2"/>
      </rPr>
      <t xml:space="preserve"> </t>
    </r>
    <r>
      <rPr>
        <i/>
        <sz val="10"/>
        <color rgb="FF008080"/>
        <rFont val="Arial Narrow"/>
        <family val="2"/>
      </rPr>
      <t>(Incluir los números separados por comas)</t>
    </r>
  </si>
  <si>
    <t>Dirigido a colectivos vulnerables</t>
  </si>
  <si>
    <t>Actividad</t>
  </si>
  <si>
    <t>Horas totales alumno</t>
  </si>
  <si>
    <t>Horas totales estudiante</t>
  </si>
  <si>
    <r>
      <t xml:space="preserve">Horas profesor </t>
    </r>
    <r>
      <rPr>
        <i/>
        <sz val="10"/>
        <color rgb="FF008080"/>
        <rFont val="Arial Narrow"/>
        <family val="2"/>
      </rPr>
      <t>(Número de horas de dedicación del profesorado, que se tendrán en cuenta para el abono de la docencia, la suma de todas las actividades debe ser igual al número de horas totales lectivas)</t>
    </r>
  </si>
  <si>
    <t>Tipo docencia</t>
  </si>
  <si>
    <t>Teórica</t>
  </si>
  <si>
    <t>Práctica</t>
  </si>
  <si>
    <t>ACTIVIDADES (mínimo 1, máximo 10)</t>
  </si>
  <si>
    <t>Seleccione opción en el desplegable</t>
  </si>
  <si>
    <t>En caso afirmativo, nombre de la oferta</t>
  </si>
  <si>
    <t>Código</t>
  </si>
  <si>
    <t>En caso afirmativo, nombre de la asignatura</t>
  </si>
  <si>
    <t>Teléfono</t>
  </si>
  <si>
    <t>DNI director/a</t>
  </si>
  <si>
    <t>DNI codirector/a</t>
  </si>
  <si>
    <t>Director/a: nombre y apellidos</t>
  </si>
  <si>
    <t>Codirector/a: nombre y apellidos</t>
  </si>
  <si>
    <t>Correo electrónico codirector/a</t>
  </si>
  <si>
    <t>Correo electrónico director/a</t>
  </si>
  <si>
    <t>MEMORIA ACADÉMICA</t>
  </si>
  <si>
    <r>
      <rPr>
        <b/>
        <sz val="12"/>
        <rFont val="Arial Narrow"/>
        <family val="2"/>
      </rPr>
      <t>PLANIFICACIÓN DE ACTIVIDADES</t>
    </r>
    <r>
      <rPr>
        <b/>
        <sz val="12"/>
        <color rgb="FF008080"/>
        <rFont val="Arial Narrow"/>
        <family val="2"/>
      </rPr>
      <t xml:space="preserve">
</t>
    </r>
    <r>
      <rPr>
        <i/>
        <sz val="10"/>
        <color rgb="FF008080"/>
        <rFont val="Arial Narrow"/>
        <family val="2"/>
      </rPr>
      <t>(Autorellenado de la información introducida en datos de actividades)</t>
    </r>
  </si>
  <si>
    <t>Sistema de evaluación</t>
  </si>
  <si>
    <t>Tipo de evaluación</t>
  </si>
  <si>
    <t>Nota mínima</t>
  </si>
  <si>
    <t>Ponderación</t>
  </si>
  <si>
    <r>
      <t xml:space="preserve">Fiabilidad de la evaluación (verificación de la identidad) </t>
    </r>
    <r>
      <rPr>
        <i/>
        <sz val="10"/>
        <color rgb="FF008080"/>
        <rFont val="Arial Narrow"/>
        <family val="2"/>
      </rPr>
      <t>(Obligatorio si se define una evaluación virtual o a distancia)</t>
    </r>
  </si>
  <si>
    <t>El formulario está alineado con las recomendaciones del grupo de trabajo CRUE-RUEPEP para la calidad en formación permanente y títulos propios, las orientaciones de REACU y los estándares ESG (European Standards and Guidelines). Asimismo, responde al Real Decreto 822/2021, que regula la organización y aseguramiento de calidad en las enseñanzas universitarias.</t>
  </si>
  <si>
    <t>Periodicidad</t>
  </si>
  <si>
    <t>Categoría académica</t>
  </si>
  <si>
    <t>Área de conocimiento</t>
  </si>
  <si>
    <t>Entidad y puesto que ocupa</t>
  </si>
  <si>
    <t>Id.</t>
  </si>
  <si>
    <t>Apellido 1</t>
  </si>
  <si>
    <t>Apellido 2</t>
  </si>
  <si>
    <t>Nombre</t>
  </si>
  <si>
    <t>(Por favor, mayúscula sólo en la primera letra)</t>
  </si>
  <si>
    <t>(9 dígitos incluida la letra)</t>
  </si>
  <si>
    <t>RELACIÓN DE PDI DE LA UNIVERSIDAD DE OVIEDO</t>
  </si>
  <si>
    <t>Categoría/Cargo</t>
  </si>
  <si>
    <t>Actividad impartida</t>
  </si>
  <si>
    <t>Total docencia</t>
  </si>
  <si>
    <t>Institución</t>
  </si>
  <si>
    <t>Cargo</t>
  </si>
  <si>
    <t>Categoría</t>
  </si>
  <si>
    <t>RELACIÓN DE PERSONAL DOCENTE EXTERNO, PTGAS Y PI DE LA UNIVERSIDAD DE OVIEDO</t>
  </si>
  <si>
    <t>RELACIÓN DE PERSONAL DE APOYO</t>
  </si>
  <si>
    <t>Función que desempeña</t>
  </si>
  <si>
    <t>COMPROBACIÓN DE LA PROPUESTA DOCENTE</t>
  </si>
  <si>
    <t>Suma de horas de profesorado</t>
  </si>
  <si>
    <t>INFORMACIÓN DE LAS ACTIVIDADES</t>
  </si>
  <si>
    <t>INFORMACIÓN PROFESORADO</t>
  </si>
  <si>
    <t>Total</t>
  </si>
  <si>
    <t>Horas estudiante según créditos ECTS</t>
  </si>
  <si>
    <t>INFORMACIÓN PARA EL CÁLCULO DEL PRESUPUESTO</t>
  </si>
  <si>
    <t>Horas</t>
  </si>
  <si>
    <t>Precio/hora</t>
  </si>
  <si>
    <t>Tipo profesorado</t>
  </si>
  <si>
    <t>Anualidad</t>
  </si>
  <si>
    <t>Interno</t>
  </si>
  <si>
    <t>Externo</t>
  </si>
  <si>
    <t>Tipo de docencia</t>
  </si>
  <si>
    <t>Personas de colectivos vulnerables</t>
  </si>
  <si>
    <t>Dirección</t>
  </si>
  <si>
    <t>Firma Administrador del Centro Gestor</t>
  </si>
  <si>
    <t>Retribución del profesorado interno</t>
  </si>
  <si>
    <t>Retribución del profesorado externo</t>
  </si>
  <si>
    <t>Informático</t>
  </si>
  <si>
    <t>Maquinaria y utillaje</t>
  </si>
  <si>
    <t>Mobiliario</t>
  </si>
  <si>
    <t>Secretaria/apoyo técnico</t>
  </si>
  <si>
    <t>Profesorado interno (Comisiones de servicio)</t>
  </si>
  <si>
    <t>Profesorado externo</t>
  </si>
  <si>
    <t>COSTES INDIRECTOS (Gastos generales)</t>
  </si>
  <si>
    <r>
      <t>Otros</t>
    </r>
    <r>
      <rPr>
        <i/>
        <sz val="10"/>
        <color rgb="FF008080"/>
        <rFont val="Arial Narrow"/>
        <family val="2"/>
      </rPr>
      <t xml:space="preserve"> (especificar)</t>
    </r>
  </si>
  <si>
    <t>Matrícula reducida estudiante</t>
  </si>
  <si>
    <t>RESUMEN DE LA PARTICIPACIÓN DEL PROFESORADO</t>
  </si>
  <si>
    <t>Porcentaje</t>
  </si>
  <si>
    <t>Interno UO</t>
  </si>
  <si>
    <t>Número</t>
  </si>
  <si>
    <t>Publicidad y divulgación</t>
  </si>
  <si>
    <r>
      <t>Seguros</t>
    </r>
    <r>
      <rPr>
        <sz val="12"/>
        <color rgb="FF008080"/>
        <rFont val="Arial Narrow"/>
        <family val="2"/>
      </rPr>
      <t>*</t>
    </r>
  </si>
  <si>
    <t>Nombre y apellidos</t>
  </si>
  <si>
    <t>RESULTADOS PREVISTOS</t>
  </si>
  <si>
    <t xml:space="preserve">     </t>
  </si>
  <si>
    <t>Denominación</t>
  </si>
  <si>
    <t>Definición</t>
  </si>
  <si>
    <t>Introducción de nuevos indicadores (en su caso)</t>
  </si>
  <si>
    <t>Correo electrónico</t>
  </si>
  <si>
    <t>Indicadores</t>
  </si>
  <si>
    <t>Valor estimado</t>
  </si>
  <si>
    <t>Valores cuantitativos estimados para los indicadores</t>
  </si>
  <si>
    <r>
      <t>Actividad 1</t>
    </r>
    <r>
      <rPr>
        <sz val="10"/>
        <color rgb="FF008080"/>
        <rFont val="Arial Narrow"/>
        <family val="2"/>
      </rPr>
      <t xml:space="preserve"> 
</t>
    </r>
    <r>
      <rPr>
        <i/>
        <sz val="10"/>
        <color rgb="FF008080"/>
        <rFont val="Arial Narrow"/>
        <family val="2"/>
      </rPr>
      <t>(Nombre que la identifica)</t>
    </r>
  </si>
  <si>
    <r>
      <t xml:space="preserve">Descripción 
</t>
    </r>
    <r>
      <rPr>
        <i/>
        <sz val="10"/>
        <color rgb="FF008080"/>
        <rFont val="Arial Narrow"/>
        <family val="2"/>
      </rPr>
      <t>(texto libre)</t>
    </r>
  </si>
  <si>
    <r>
      <t xml:space="preserve">Actividad 2 
</t>
    </r>
    <r>
      <rPr>
        <i/>
        <sz val="10"/>
        <color rgb="FF008080"/>
        <rFont val="Arial Narrow"/>
        <family val="2"/>
      </rPr>
      <t>(Nombre que la identifica)</t>
    </r>
  </si>
  <si>
    <r>
      <t>Actividad 3</t>
    </r>
    <r>
      <rPr>
        <sz val="10"/>
        <color rgb="FF008080"/>
        <rFont val="Arial Narrow"/>
        <family val="2"/>
      </rPr>
      <t xml:space="preserve"> 
</t>
    </r>
    <r>
      <rPr>
        <i/>
        <sz val="10"/>
        <color rgb="FF008080"/>
        <rFont val="Arial Narrow"/>
        <family val="2"/>
      </rPr>
      <t>(Nombre que la identifica)</t>
    </r>
  </si>
  <si>
    <r>
      <t>Actividad 4</t>
    </r>
    <r>
      <rPr>
        <sz val="10"/>
        <color rgb="FF008080"/>
        <rFont val="Arial Narrow"/>
        <family val="2"/>
      </rPr>
      <t xml:space="preserve"> 
</t>
    </r>
    <r>
      <rPr>
        <i/>
        <sz val="10"/>
        <color rgb="FF008080"/>
        <rFont val="Arial Narrow"/>
        <family val="2"/>
      </rPr>
      <t>(Nombre que la identifica)</t>
    </r>
  </si>
  <si>
    <r>
      <t>Actividad 5</t>
    </r>
    <r>
      <rPr>
        <sz val="10"/>
        <color rgb="FF008080"/>
        <rFont val="Arial Narrow"/>
        <family val="2"/>
      </rPr>
      <t xml:space="preserve"> 
</t>
    </r>
    <r>
      <rPr>
        <i/>
        <sz val="10"/>
        <color rgb="FF008080"/>
        <rFont val="Arial Narrow"/>
        <family val="2"/>
      </rPr>
      <t>(Nombre que la identifica)</t>
    </r>
  </si>
  <si>
    <r>
      <t>Actividad 6</t>
    </r>
    <r>
      <rPr>
        <sz val="10"/>
        <color rgb="FF008080"/>
        <rFont val="Arial Narrow"/>
        <family val="2"/>
      </rPr>
      <t xml:space="preserve"> 
</t>
    </r>
    <r>
      <rPr>
        <i/>
        <sz val="10"/>
        <color rgb="FF008080"/>
        <rFont val="Arial Narrow"/>
        <family val="2"/>
      </rPr>
      <t>(Nombre que la identifica)</t>
    </r>
  </si>
  <si>
    <r>
      <t>Actividad 7</t>
    </r>
    <r>
      <rPr>
        <sz val="10"/>
        <color rgb="FF008080"/>
        <rFont val="Arial Narrow"/>
        <family val="2"/>
      </rPr>
      <t xml:space="preserve"> 
</t>
    </r>
    <r>
      <rPr>
        <i/>
        <sz val="10"/>
        <color rgb="FF008080"/>
        <rFont val="Arial Narrow"/>
        <family val="2"/>
      </rPr>
      <t>(Nombre que la identifica)</t>
    </r>
  </si>
  <si>
    <r>
      <t xml:space="preserve">Actividad 8 
</t>
    </r>
    <r>
      <rPr>
        <i/>
        <sz val="10"/>
        <color rgb="FF008080"/>
        <rFont val="Arial Narrow"/>
        <family val="2"/>
      </rPr>
      <t>(Nombre que la identifica)</t>
    </r>
  </si>
  <si>
    <r>
      <t>Actividad 9</t>
    </r>
    <r>
      <rPr>
        <sz val="10"/>
        <color rgb="FF008080"/>
        <rFont val="Arial Narrow"/>
        <family val="2"/>
      </rPr>
      <t xml:space="preserve"> 
</t>
    </r>
    <r>
      <rPr>
        <i/>
        <sz val="10"/>
        <color rgb="FF008080"/>
        <rFont val="Arial Narrow"/>
        <family val="2"/>
      </rPr>
      <t>(Nombre que la identifica)</t>
    </r>
  </si>
  <si>
    <r>
      <t>Actividad 10</t>
    </r>
    <r>
      <rPr>
        <sz val="10"/>
        <color rgb="FF008080"/>
        <rFont val="Arial Narrow"/>
        <family val="2"/>
      </rPr>
      <t xml:space="preserve"> 
</t>
    </r>
    <r>
      <rPr>
        <i/>
        <sz val="10"/>
        <color rgb="FF008080"/>
        <rFont val="Arial Narrow"/>
        <family val="2"/>
      </rPr>
      <t>(Nombre que la identifica)</t>
    </r>
  </si>
  <si>
    <r>
      <t xml:space="preserve">Descripción 
</t>
    </r>
    <r>
      <rPr>
        <i/>
        <sz val="10"/>
        <color rgb="FF008080"/>
        <rFont val="Arial Narrow"/>
        <family val="2"/>
      </rPr>
      <t>(opcional)</t>
    </r>
  </si>
  <si>
    <t xml:space="preserve">Subvenciones, patrocinios u otras fuentes de financiación </t>
  </si>
  <si>
    <t>Nombre o procedencia</t>
  </si>
  <si>
    <t>Conferencias</t>
  </si>
  <si>
    <t>OBSERVACIONES</t>
  </si>
  <si>
    <t>No supervisado con verificación de la identidad</t>
  </si>
  <si>
    <t>Supervisado con verificación de la identidad</t>
  </si>
  <si>
    <t>Aprendizaje basado en problemas</t>
  </si>
  <si>
    <t>Evaluación continua</t>
  </si>
  <si>
    <t>Evaluación de artefactos</t>
  </si>
  <si>
    <t>Evaluación por pares</t>
  </si>
  <si>
    <t>Evaluación práctica</t>
  </si>
  <si>
    <t>Examen escrito</t>
  </si>
  <si>
    <t>Examen oral</t>
  </si>
  <si>
    <t>Expediente</t>
  </si>
  <si>
    <t>Nivel de asistencia</t>
  </si>
  <si>
    <t>Presentación</t>
  </si>
  <si>
    <t>Resultados de un grupo</t>
  </si>
  <si>
    <t>Revisión interpares</t>
  </si>
  <si>
    <t>Tarea puntuable</t>
  </si>
  <si>
    <t>Test</t>
  </si>
  <si>
    <t>Trabajo en un proyecto</t>
  </si>
  <si>
    <t>Niveles EQF</t>
  </si>
  <si>
    <t>Tipo evaluación</t>
  </si>
  <si>
    <t>Verificación identidad en evaluación</t>
  </si>
  <si>
    <t>Aprendizaje profesional</t>
  </si>
  <si>
    <t>Programa educativo</t>
  </si>
  <si>
    <t>Campo ISCED-F</t>
  </si>
  <si>
    <t>0011 Programas y certificaciones básicos</t>
  </si>
  <si>
    <t>0021 Alfabetización y aritmética elemental</t>
  </si>
  <si>
    <t>0031 Competencias personales y desarrollo</t>
  </si>
  <si>
    <t>0111 Ciencias de la educación</t>
  </si>
  <si>
    <t>0112 Formación para docentes de educación preprimaria</t>
  </si>
  <si>
    <t>0113 Formación para docentes sin asignatura de especialización</t>
  </si>
  <si>
    <t>0114 Formación para docentes con asignatura de especialización</t>
  </si>
  <si>
    <t>0211 Técnicas audiovisuales y producción para medios de comunicación</t>
  </si>
  <si>
    <t>0212 Diseño industrial, de modas e interiores</t>
  </si>
  <si>
    <t>0213 Bellas artes</t>
  </si>
  <si>
    <t>0214 Artesanías</t>
  </si>
  <si>
    <t>0215 Música y artes escénicas</t>
  </si>
  <si>
    <t>0221 Religión y teología</t>
  </si>
  <si>
    <t>0222 Historia y arqueología</t>
  </si>
  <si>
    <t>0223 Filosofía y ética</t>
  </si>
  <si>
    <t>0231 Adquisición del lenguaje</t>
  </si>
  <si>
    <t>0232 Literatura y lingüística</t>
  </si>
  <si>
    <t>0311 Economía</t>
  </si>
  <si>
    <t>0312 Ciencias políticas y educación cívica</t>
  </si>
  <si>
    <t>0313 Psicología</t>
  </si>
  <si>
    <t>0314 Sociología y estudios culturales</t>
  </si>
  <si>
    <t>0321 Periodismo y reportajes</t>
  </si>
  <si>
    <t>0322 Bibliotecología, información y archivología</t>
  </si>
  <si>
    <t>0411 Contabilidad e impuestos</t>
  </si>
  <si>
    <t>0412 Gestión financiera, administración bancaria y seguros</t>
  </si>
  <si>
    <t>0413 Gestión y administración</t>
  </si>
  <si>
    <t>0414 Mercadotecnia y publicidad</t>
  </si>
  <si>
    <t>0415 Secretariado y trabajo de oficina</t>
  </si>
  <si>
    <t>0416 Ventas al por mayor y al por menor</t>
  </si>
  <si>
    <t>0417 Competencias laborales</t>
  </si>
  <si>
    <t>0421 Derecho</t>
  </si>
  <si>
    <t>0511 Biología</t>
  </si>
  <si>
    <t>0512 Bioquímica</t>
  </si>
  <si>
    <t>0521 Ciencias del medio ambiente</t>
  </si>
  <si>
    <t>0522 Medio ambientes naturales y vida silvestre</t>
  </si>
  <si>
    <t>0531 Química</t>
  </si>
  <si>
    <t>0532 Ciencias de la tierra</t>
  </si>
  <si>
    <t>0533 Física</t>
  </si>
  <si>
    <t>0541 Matemáticas</t>
  </si>
  <si>
    <t>0542 Estadística</t>
  </si>
  <si>
    <t>0611 Uso de computadores</t>
  </si>
  <si>
    <t>0612 Diseño y administración de redes y bases de datos</t>
  </si>
  <si>
    <t>0613 Desarrollo y análisis de software y aplicaciones</t>
  </si>
  <si>
    <t>0711 Ingeniería y procesos químicos</t>
  </si>
  <si>
    <t>0712 Tecnología de protección del medio ambiente</t>
  </si>
  <si>
    <t>0713 Electricidad y energía</t>
  </si>
  <si>
    <t>0714 Electrónica y automatización</t>
  </si>
  <si>
    <t>0715 Mecánica y profesiones afines a la metalistería</t>
  </si>
  <si>
    <t>0716 Vehículos, barcos y aeronaves motorizadas</t>
  </si>
  <si>
    <t>0721 Procesamiento de alimentos</t>
  </si>
  <si>
    <t>0722 Materiales (vidrio, papel, plástico y madera)</t>
  </si>
  <si>
    <t>0723 Productos textiles (ropa, calzado y artículos de cuero)</t>
  </si>
  <si>
    <t>0724 Minería y extracción</t>
  </si>
  <si>
    <t>0731 Arquitectura y urbanismo</t>
  </si>
  <si>
    <t>0732 Construcción e ingeniería civil</t>
  </si>
  <si>
    <t>0811 Producción agrícola y ganadera</t>
  </si>
  <si>
    <t>0812 Horticultura</t>
  </si>
  <si>
    <t>0821 Silvicultura</t>
  </si>
  <si>
    <t>0831 Pesca</t>
  </si>
  <si>
    <t>0841 Veterinaria</t>
  </si>
  <si>
    <t>0911 Odontología</t>
  </si>
  <si>
    <t>0912 Medicina</t>
  </si>
  <si>
    <t>0913 Enfermería y partería</t>
  </si>
  <si>
    <t>0914 Tecnología de diagnóstico y tratamiento médico</t>
  </si>
  <si>
    <t>0915 Terapia y rehabilitación</t>
  </si>
  <si>
    <t>0916 Farmacia</t>
  </si>
  <si>
    <t>0917 Medicina y terapia tradicional y complementaria</t>
  </si>
  <si>
    <t>0921 Asistencia a adultos mayores y discapacitados</t>
  </si>
  <si>
    <t>0922 Asistencia a la infancia y servicios para jóvenes</t>
  </si>
  <si>
    <t>0923 Trabajo social y orientación</t>
  </si>
  <si>
    <t>1011 Servicios domésticos</t>
  </si>
  <si>
    <t>1012 Peluquería y tratamientos de belleza</t>
  </si>
  <si>
    <t>1013 Hotelería, restaurantes y servicios de banquetes</t>
  </si>
  <si>
    <t>1014 Deportes</t>
  </si>
  <si>
    <t>1015 Viajes, turismo y actividades recreativas</t>
  </si>
  <si>
    <t>1021 Saneamiento de la comunidad</t>
  </si>
  <si>
    <t>1022 Salud y protección laboral</t>
  </si>
  <si>
    <t>1031 Educación militar y de defensa</t>
  </si>
  <si>
    <t>1032 Protección de las personas y de la propiedad</t>
  </si>
  <si>
    <t>1041 Servicios de Transporte</t>
  </si>
  <si>
    <t>Otro, no listado (indicar a la derecha)</t>
  </si>
  <si>
    <t>Estudio automotivado</t>
  </si>
  <si>
    <t>Experiencia laboral</t>
  </si>
  <si>
    <t>Investigación</t>
  </si>
  <si>
    <t>Laboratorio/simulación/tareas prácticas</t>
  </si>
  <si>
    <t>Prácticas en empresas</t>
  </si>
  <si>
    <t>Taller, seminario o conferencia</t>
  </si>
  <si>
    <t>Tareas de aprendizaje electrónico</t>
  </si>
  <si>
    <t>Tareas en el aula</t>
  </si>
  <si>
    <t>Voluntariado</t>
  </si>
  <si>
    <t>INFORME DE AUTOEVALUACIÓN</t>
  </si>
  <si>
    <t>VALORACIÓN CUALITATIVA DE LOS CRITERIOS</t>
  </si>
  <si>
    <t>La valoración del cumplimiento de los criterios y directrices ha de realizarse en base a la siguiente escala:</t>
  </si>
  <si>
    <t>1. DISEÑO Y APROBACIÓN DEL PROGRAMA FORMATIVO [ESG 1.2]</t>
  </si>
  <si>
    <t>Valoración criterio 1</t>
  </si>
  <si>
    <t>Evidencias criterio 1:</t>
  </si>
  <si>
    <t>[Incluir comentarios, en su caso]</t>
  </si>
  <si>
    <t>A</t>
  </si>
  <si>
    <t>2. ENSEÑANZA, APRENDIZAJE Y EVALUACIÓN CENTRADOS EN EL ESTUDIANTADO [ESG 1.3]</t>
  </si>
  <si>
    <t>Valoración criterio 2</t>
  </si>
  <si>
    <t>Evidencias criterio 2</t>
  </si>
  <si>
    <t>3. ADMISIÓN Y RECONOCIMIENTO [ESG.1.4]</t>
  </si>
  <si>
    <t>Valoración criterio 3</t>
  </si>
  <si>
    <t>Evidencias criterio 3</t>
  </si>
  <si>
    <t>4. PERSONAL DOCENTE Y DE APOYO A LA DOCENCIA [ESG 1.5]</t>
  </si>
  <si>
    <t>Valoración criterio 4</t>
  </si>
  <si>
    <t>Evidencias criterio 4</t>
  </si>
  <si>
    <t>5. RECURSOS PARA EL APRENDIZAJE Y APOYO AL ESTUDIANTADO [ESG 1.6]</t>
  </si>
  <si>
    <t>Valoración criterio 5</t>
  </si>
  <si>
    <t>Evidencias criterio 5</t>
  </si>
  <si>
    <t>6. GESTIÓN DE LA INFORMACIÓN E INFORMACIÓN PÚBLICA [ESG 1.7 Y ESG 1.8]</t>
  </si>
  <si>
    <t>7. ASEGURAMIENTO DE LA CALIDAD [ESG 1.1, ESG 1.9 Y ESG 1.10]</t>
  </si>
  <si>
    <t>Valoración criterio 6</t>
  </si>
  <si>
    <t>Evidencias criterio 6</t>
  </si>
  <si>
    <t>Valoración criterio 7</t>
  </si>
  <si>
    <t>Evidencias criterio 7</t>
  </si>
  <si>
    <t>EQF1 - Conocimientos básicos generales. Educación primaria</t>
  </si>
  <si>
    <t>EQF2 - Conocimientos tácticos básicos en un campo (Personas que cursan ESO)</t>
  </si>
  <si>
    <t>EQF3 - Aplicación de conocimientos en tareas específicas. Educación Secundaria (ESO)</t>
  </si>
  <si>
    <t>EQF4 - Conocimientos técnicos; solución de problemas en un campo definido (Bachillerato/Ciclos Grado Medio)</t>
  </si>
  <si>
    <t>EQF7 - Conocimientos altamente especializados (Máster o equivalente)</t>
  </si>
  <si>
    <t>EQF8 - Conocimientos fronterizos o multidisciplinares (Doctorado o equivalente)</t>
  </si>
  <si>
    <t>EQF6 - Conocimientos avanzados y críticos (Grado o equivalente)</t>
  </si>
  <si>
    <t>EQF5 - Conocimientos avanzados; responsabilidad en entornos especializados (Técnico Superior FP o equivalente)</t>
  </si>
  <si>
    <t>ODS</t>
  </si>
  <si>
    <r>
      <t>ODS 1:</t>
    </r>
    <r>
      <rPr>
        <sz val="11"/>
        <color theme="1"/>
        <rFont val="Aptos Narrow"/>
        <family val="2"/>
        <scheme val="minor"/>
      </rPr>
      <t xml:space="preserve"> Fin de la pobreza.</t>
    </r>
  </si>
  <si>
    <r>
      <t>ODS 2:</t>
    </r>
    <r>
      <rPr>
        <sz val="11"/>
        <color theme="1"/>
        <rFont val="Aptos Narrow"/>
        <family val="2"/>
        <scheme val="minor"/>
      </rPr>
      <t xml:space="preserve"> Hambre cero.</t>
    </r>
  </si>
  <si>
    <r>
      <t>ODS 3:</t>
    </r>
    <r>
      <rPr>
        <sz val="11"/>
        <color theme="1"/>
        <rFont val="Aptos Narrow"/>
        <family val="2"/>
        <scheme val="minor"/>
      </rPr>
      <t xml:space="preserve"> Salud y bienestar.</t>
    </r>
  </si>
  <si>
    <r>
      <t>ODS 4:</t>
    </r>
    <r>
      <rPr>
        <sz val="11"/>
        <color theme="1"/>
        <rFont val="Aptos Narrow"/>
        <family val="2"/>
        <scheme val="minor"/>
      </rPr>
      <t xml:space="preserve"> Educación de calidad.</t>
    </r>
  </si>
  <si>
    <r>
      <t>ODS 5:</t>
    </r>
    <r>
      <rPr>
        <sz val="11"/>
        <color theme="1"/>
        <rFont val="Aptos Narrow"/>
        <family val="2"/>
        <scheme val="minor"/>
      </rPr>
      <t xml:space="preserve"> Igualdad de género.</t>
    </r>
  </si>
  <si>
    <r>
      <t>ODS 6:</t>
    </r>
    <r>
      <rPr>
        <sz val="11"/>
        <color theme="1"/>
        <rFont val="Aptos Narrow"/>
        <family val="2"/>
        <scheme val="minor"/>
      </rPr>
      <t xml:space="preserve"> Agua limpia y saneamiento.</t>
    </r>
  </si>
  <si>
    <r>
      <t>ODS 7:</t>
    </r>
    <r>
      <rPr>
        <sz val="11"/>
        <color theme="1"/>
        <rFont val="Aptos Narrow"/>
        <family val="2"/>
        <scheme val="minor"/>
      </rPr>
      <t xml:space="preserve"> Energía asequible y no contaminante.</t>
    </r>
  </si>
  <si>
    <r>
      <t>ODS 8:</t>
    </r>
    <r>
      <rPr>
        <sz val="11"/>
        <color theme="1"/>
        <rFont val="Aptos Narrow"/>
        <family val="2"/>
        <scheme val="minor"/>
      </rPr>
      <t xml:space="preserve"> Trabajo decente y crecimiento económico.</t>
    </r>
  </si>
  <si>
    <r>
      <t>ODS 9:</t>
    </r>
    <r>
      <rPr>
        <sz val="11"/>
        <color theme="1"/>
        <rFont val="Aptos Narrow"/>
        <family val="2"/>
        <scheme val="minor"/>
      </rPr>
      <t xml:space="preserve"> Industria, innovación e infraestructura.</t>
    </r>
  </si>
  <si>
    <r>
      <t>ODS 10:</t>
    </r>
    <r>
      <rPr>
        <sz val="11"/>
        <color theme="1"/>
        <rFont val="Aptos Narrow"/>
        <family val="2"/>
        <scheme val="minor"/>
      </rPr>
      <t xml:space="preserve"> Reducción de las desigualdades.</t>
    </r>
  </si>
  <si>
    <r>
      <t>ODS 11:</t>
    </r>
    <r>
      <rPr>
        <sz val="11"/>
        <color theme="1"/>
        <rFont val="Aptos Narrow"/>
        <family val="2"/>
        <scheme val="minor"/>
      </rPr>
      <t xml:space="preserve"> Ciudades y comunidades sostenibles.</t>
    </r>
  </si>
  <si>
    <r>
      <t>ODS 12:</t>
    </r>
    <r>
      <rPr>
        <sz val="11"/>
        <color theme="1"/>
        <rFont val="Aptos Narrow"/>
        <family val="2"/>
        <scheme val="minor"/>
      </rPr>
      <t xml:space="preserve"> Producción y consumo responsables.</t>
    </r>
  </si>
  <si>
    <r>
      <t>ODS 13:</t>
    </r>
    <r>
      <rPr>
        <sz val="11"/>
        <color theme="1"/>
        <rFont val="Aptos Narrow"/>
        <family val="2"/>
        <scheme val="minor"/>
      </rPr>
      <t xml:space="preserve"> Acción por el clima.</t>
    </r>
  </si>
  <si>
    <r>
      <t>ODS 14:</t>
    </r>
    <r>
      <rPr>
        <sz val="11"/>
        <color theme="1"/>
        <rFont val="Aptos Narrow"/>
        <family val="2"/>
        <scheme val="minor"/>
      </rPr>
      <t xml:space="preserve"> Vida submarina.</t>
    </r>
  </si>
  <si>
    <r>
      <t>ODS 15:</t>
    </r>
    <r>
      <rPr>
        <sz val="11"/>
        <color theme="1"/>
        <rFont val="Aptos Narrow"/>
        <family val="2"/>
        <scheme val="minor"/>
      </rPr>
      <t xml:space="preserve"> Vida de ecosistemas terrestres.</t>
    </r>
  </si>
  <si>
    <r>
      <t>ODS 16:</t>
    </r>
    <r>
      <rPr>
        <sz val="11"/>
        <color theme="1"/>
        <rFont val="Aptos Narrow"/>
        <family val="2"/>
        <scheme val="minor"/>
      </rPr>
      <t xml:space="preserve"> Paz, justicia e instituciones sólidas.</t>
    </r>
  </si>
  <si>
    <r>
      <t>ODS 17:</t>
    </r>
    <r>
      <rPr>
        <sz val="11"/>
        <color theme="1"/>
        <rFont val="Aptos Narrow"/>
        <family val="2"/>
        <scheme val="minor"/>
      </rPr>
      <t xml:space="preserve"> Alianzas para lograr los objetivos.</t>
    </r>
  </si>
  <si>
    <t>4,</t>
  </si>
  <si>
    <t>PERSONAL DOCENTE Y DE APOYO</t>
  </si>
  <si>
    <t>DATOS ACADÉMICOS PARA EL CERTIFICADO</t>
  </si>
  <si>
    <t>DATOS PARA EL SGIC</t>
  </si>
  <si>
    <t>Info director</t>
  </si>
  <si>
    <t>Info codir</t>
  </si>
  <si>
    <t>Destinatarios o criterios</t>
  </si>
  <si>
    <t>Otra oferta</t>
  </si>
  <si>
    <t>Información general</t>
  </si>
  <si>
    <t>Rama</t>
  </si>
  <si>
    <t>EQF</t>
  </si>
  <si>
    <t>Entorno</t>
  </si>
  <si>
    <t>Justificación</t>
  </si>
  <si>
    <t>Lugar y calendario</t>
  </si>
  <si>
    <t>Fechas</t>
  </si>
  <si>
    <t>Teléfono de información</t>
  </si>
  <si>
    <t>Gestión externa</t>
  </si>
  <si>
    <t>Descuento (0%-100%)</t>
  </si>
  <si>
    <t>Faltan datos de profesorado</t>
  </si>
  <si>
    <t>Faltan datos del personal de apoyo</t>
  </si>
  <si>
    <t>RAs no definidos</t>
  </si>
  <si>
    <t>Necesidad de una actividad</t>
  </si>
  <si>
    <t>Actividades no definidas</t>
  </si>
  <si>
    <t>Necesidad de una evaluación</t>
  </si>
  <si>
    <t>Evaluaciones no definidas</t>
  </si>
  <si>
    <r>
      <t xml:space="preserve">En esta pestaña se presenta un resumen de los principales errores en la cumplimentación de la propuesta. Por favor, </t>
    </r>
    <r>
      <rPr>
        <b/>
        <u/>
        <sz val="10"/>
        <color theme="3"/>
        <rFont val="Arial Narrow"/>
        <family val="2"/>
      </rPr>
      <t>no presente la propuesta mientras figure algún error en este resumen</t>
    </r>
    <r>
      <rPr>
        <b/>
        <sz val="10"/>
        <color theme="3"/>
        <rFont val="Arial Narrow"/>
        <family val="2"/>
      </rPr>
      <t xml:space="preserve">. Corríjalo en la pestaña que proceda para que desaparezca de esta pestaña. 
</t>
    </r>
    <r>
      <rPr>
        <b/>
        <u/>
        <sz val="10"/>
        <color theme="3"/>
        <rFont val="Arial Narrow"/>
        <family val="2"/>
      </rPr>
      <t>Si se presenta la propuesta con errores en este apartado, se consideraría no válida</t>
    </r>
    <r>
      <rPr>
        <b/>
        <sz val="10"/>
        <color theme="3"/>
        <rFont val="Arial Narrow"/>
        <family val="2"/>
      </rPr>
      <t xml:space="preserve">. No obstante, el mero hecho de que no figure ningún error en este resumen no implica que la propuesta sea correcta. Eso quedará a criterio del CIP una vez hecha la revisión administrativa y comprobado que cumple con todos los requisitos establecidos por la normativa y las instrucciones que la desarrollan.  </t>
    </r>
  </si>
  <si>
    <t>Derechos no definidos</t>
  </si>
  <si>
    <t>DATOS DERECHOS (OPCIONAL)</t>
  </si>
  <si>
    <r>
      <rPr>
        <b/>
        <sz val="11"/>
        <rFont val="Arial Narrow"/>
        <family val="2"/>
      </rPr>
      <t xml:space="preserve">A: </t>
    </r>
    <r>
      <rPr>
        <sz val="11"/>
        <rFont val="Arial Narrow"/>
        <family val="2"/>
      </rPr>
      <t xml:space="preserve">Se cumple; </t>
    </r>
    <r>
      <rPr>
        <b/>
        <sz val="11"/>
        <rFont val="Arial Narrow"/>
        <family val="2"/>
      </rPr>
      <t xml:space="preserve">B: </t>
    </r>
    <r>
      <rPr>
        <sz val="11"/>
        <rFont val="Arial Narrow"/>
        <family val="2"/>
      </rPr>
      <t xml:space="preserve">Se cumple parcialmente; </t>
    </r>
    <r>
      <rPr>
        <b/>
        <sz val="11"/>
        <rFont val="Arial Narrow"/>
        <family val="2"/>
      </rPr>
      <t xml:space="preserve">C: </t>
    </r>
    <r>
      <rPr>
        <sz val="11"/>
        <rFont val="Arial Narrow"/>
        <family val="2"/>
      </rPr>
      <t xml:space="preserve">No se cumple; </t>
    </r>
    <r>
      <rPr>
        <b/>
        <sz val="11"/>
        <rFont val="Arial Narrow"/>
        <family val="2"/>
      </rPr>
      <t>No aplica</t>
    </r>
  </si>
  <si>
    <r>
      <t xml:space="preserve">Apartados de la propuesta:
Descripción 
Justificación de la formación
Explicación de los objetivos: competencias que deben alcanzar los estudiantes </t>
    </r>
    <r>
      <rPr>
        <sz val="10"/>
        <color rgb="FF008080"/>
        <rFont val="Arial Narrow"/>
        <family val="2"/>
      </rPr>
      <t>[Evidencias adicionales, en su caso]</t>
    </r>
  </si>
  <si>
    <r>
      <t xml:space="preserve">Apartados de la propuesta:
Destinatarios y criterios de selección </t>
    </r>
    <r>
      <rPr>
        <sz val="10"/>
        <color rgb="FF008080"/>
        <rFont val="Arial Narrow"/>
        <family val="2"/>
      </rPr>
      <t>[Evidencias adicionales, en su caso]</t>
    </r>
  </si>
  <si>
    <r>
      <t xml:space="preserve">Apartados de la propuesta:
Recursos materiales y servicios
Profesorado y personal de apoyo
Instituciones o empresas colaboradoras </t>
    </r>
    <r>
      <rPr>
        <sz val="10"/>
        <color rgb="FF008080"/>
        <rFont val="Arial Narrow"/>
        <family val="2"/>
      </rPr>
      <t>[Evidencias adicionales, en su caso]</t>
    </r>
  </si>
  <si>
    <r>
      <t xml:space="preserve">Web institucional
Apartados de la propuesta:
Sistema de Garantía de Calidad </t>
    </r>
    <r>
      <rPr>
        <sz val="10"/>
        <color rgb="FF008080"/>
        <rFont val="Arial Narrow"/>
        <family val="2"/>
      </rPr>
      <t>[Evidencias adicionales, en su caso]</t>
    </r>
    <r>
      <rPr>
        <sz val="10"/>
        <color theme="1"/>
        <rFont val="Arial Narrow"/>
        <family val="2"/>
      </rPr>
      <t xml:space="preserve">
</t>
    </r>
  </si>
  <si>
    <r>
      <t xml:space="preserve">Apartados de la propuesta:
Sistema de Garantía de Calidad </t>
    </r>
    <r>
      <rPr>
        <sz val="10"/>
        <color rgb="FF008080"/>
        <rFont val="Arial Narrow"/>
        <family val="2"/>
      </rPr>
      <t>[Evidencias adicionales, en su caso]</t>
    </r>
    <r>
      <rPr>
        <sz val="10"/>
        <color theme="1"/>
        <rFont val="Arial Narrow"/>
        <family val="2"/>
      </rPr>
      <t xml:space="preserve">
</t>
    </r>
  </si>
  <si>
    <t>Tasa de graduación  (porcentaje aptos/inscritos)</t>
  </si>
  <si>
    <t>Demanda  (número de participantes interesados)</t>
  </si>
  <si>
    <t>Acción</t>
  </si>
  <si>
    <t>Responsable Ejecución</t>
  </si>
  <si>
    <t>Período temporal</t>
  </si>
  <si>
    <t>Recursos necesarios</t>
  </si>
  <si>
    <t>Indicador seguimiento</t>
  </si>
  <si>
    <r>
      <rPr>
        <b/>
        <sz val="12"/>
        <rFont val="Arial Narrow"/>
        <family val="2"/>
      </rPr>
      <t xml:space="preserve">En el caso de segundas o posteriores ediciones de una microcredencial:
</t>
    </r>
    <r>
      <rPr>
        <b/>
        <sz val="12"/>
        <color rgb="FF008080"/>
        <rFont val="Arial Narrow"/>
        <family val="2"/>
      </rPr>
      <t>Justificación de la existencia de una demanda continua a la que da respuesta la microcredencial</t>
    </r>
  </si>
  <si>
    <t>SISTEMA DE GARANTÍA INTERNA DE CALIDAD</t>
  </si>
  <si>
    <t>3. El perfil académico del profesor o profesora responsable de la Universidad de Oviedo está en consonancia con las enseñanzas a desarrollar.</t>
  </si>
  <si>
    <t>5.  Los objetivos formativos son claros y explícitos, alineados con la justificación del título y con su nivel MECU-EQF</t>
  </si>
  <si>
    <t>7. Los perfiles de egreso están definidos con claridad.</t>
  </si>
  <si>
    <t>1. La denominación es coherente con el plan de estudios, con los objetivos formativos establecidos y no induce a confusión con los títulos universitarios oficiales</t>
  </si>
  <si>
    <t>2. El ámbito al que se adscribe  es coherente con los módulos, materias o asignaturas del plan de estudios.</t>
  </si>
  <si>
    <t>4. La propuesta está justificada por su interés académico, científico, profesional o social y/o por su incardinación en la planificación estratégica institucional.</t>
  </si>
  <si>
    <t>8. Existen evidencias de avales, recomendaciones y/o consultas externas que valoran positivamente la propuesta</t>
  </si>
  <si>
    <t>Responsable del Sistema de Garantía de Calidad de la Microcredencial</t>
  </si>
  <si>
    <t>8. SOSTENIBILIDAD ECONÓMICA</t>
  </si>
  <si>
    <t>MEMORIA ECONÓMICA</t>
  </si>
  <si>
    <t>1. La Memoria económica contiene una descripción detallada de los ingresos y gastos previstos que avalan su autofinanciación.</t>
  </si>
  <si>
    <t>2. Los precios se corresponden con los fijados en el Presupuesto de la Universidad de Oviedo</t>
  </si>
  <si>
    <t>3. El importe de las remuneraciones se ajustan a la normativa y al Presupuesto de la Universidad de Oviedo.</t>
  </si>
  <si>
    <t>Valoración criterio 8</t>
  </si>
  <si>
    <t>Evidencias criterio 8</t>
  </si>
  <si>
    <r>
      <t xml:space="preserve">Apartados de la propuesta:
Memoria Económica </t>
    </r>
    <r>
      <rPr>
        <sz val="10"/>
        <color rgb="FF008080"/>
        <rFont val="Arial Narrow"/>
        <family val="2"/>
      </rPr>
      <t>[Evidencias adicionales, en su caso]</t>
    </r>
    <r>
      <rPr>
        <sz val="10"/>
        <color theme="1"/>
        <rFont val="Arial Narrow"/>
        <family val="2"/>
      </rPr>
      <t xml:space="preserve">
</t>
    </r>
  </si>
  <si>
    <t>2. Está definida la estructura y composición de los órganos responsables de la revisión periódica de la enseñanza</t>
  </si>
  <si>
    <t>3. Existe un responsable del Sistema de Garantía de la Calidad</t>
  </si>
  <si>
    <t>1. La propuesta académica cumple con los requisitos establecidos el reglamento de estudios conducentes a Enseñanzas Propias.</t>
  </si>
  <si>
    <t>4. Existen procedimientos que garantizan la recogida de información que facilitan la revisión periódica de la formación y el establecimiento de acciones de mejora y se han definido sistemáticas que garantizan que la toma de decisiones está basada en el análisis de las evidencias recogidas.</t>
  </si>
  <si>
    <t>6. La modalidad de enseñanza (presencial, híbrida o virtual) está indicada y es adecuada a los objetivos.</t>
  </si>
  <si>
    <t>6. Se especifica el calendario académico, la periodicidad de la oferta y las fechas de comienzo y fin del programa formativo.</t>
  </si>
  <si>
    <t>1. Las capacidades y competencias que debe adquirir el/la estudiante y los resultados del aprendizaje tienen una formulación clara y adecuada.</t>
  </si>
  <si>
    <t>2. El número de créditos es adecuado para la adquisición de los resultados de aprendizaje previstos.</t>
  </si>
  <si>
    <t>3. La planificación temporal y secuenciación, en su caso, de los módulos, asignaturas o actividades es adecuada.</t>
  </si>
  <si>
    <t>4. Los resultados del aprendizaje propuestos están alineados con los sistemas y técnicas de evaluación que se proponen.</t>
  </si>
  <si>
    <t>5. Los resultados del aprendizaje propuestos son evaluables.</t>
  </si>
  <si>
    <t>1. Consta expresamente si el título requiere titulación universitaria previa.</t>
  </si>
  <si>
    <t>2. Los requisitos de acceso al título, incluyendo la definición del perfil de ingreso recomendado, están definidos correctamente.</t>
  </si>
  <si>
    <t>3. Existen mecanismos adecuados y accesibles de información previa a la matriculación y procedimientos de orientación de los estudiantes de nuevo ingreso.</t>
  </si>
  <si>
    <t>4. Los criterios de acceso o admisión son adecuados y se exponen claramente en la propuesta.</t>
  </si>
  <si>
    <t>1. Existe un listado del profesorado participante indicando su vinculación a la universidad o con una entidad colaboradora y su categoría académica o profesional.</t>
  </si>
  <si>
    <t>3. Los recursos humanos disponibles y previstos (profesorado y personal de apoyo) son suficientes y adecuados considerando el número de plazas, modalidades de enseñanza e idioma de impartición.</t>
  </si>
  <si>
    <t>4. Se cumple el mínimo de participación de profesorado de la UO (20%) o -en caso contrario- se ha justificado correctamente.</t>
  </si>
  <si>
    <r>
      <t xml:space="preserve">Apartados de la propuesta:
Personal docente y de apoyo
Documentos complementarios:
Compromisos de participación del profesorado
CV del profesorado </t>
    </r>
    <r>
      <rPr>
        <sz val="10"/>
        <color rgb="FF008080"/>
        <rFont val="Arial Narrow"/>
        <family val="2"/>
      </rPr>
      <t>[Evidencias adicionales, en su caso]</t>
    </r>
  </si>
  <si>
    <t>2. Están previstos mecanismos de apoyo y orientación a los estudiantes una vez matriculados.</t>
  </si>
  <si>
    <t>1. Los medios materiales y servicios disponibles (espacios, instalaciones, laboratorios, equipamiento científico, técnico o artístico, biblioteca y salas de lectura, nuevas tecnologías, etc.) son adecuados para garantizar el desarrollo de las actividades formativas planificadas.</t>
  </si>
  <si>
    <t>3. (En caso de incluir prácticas externas) Se aportan los convenios de cooperación educativa o documentos acreditativos del compromiso con entidades públicas y/o privadas relativo a la realización de prácticas.</t>
  </si>
  <si>
    <t>4. (En caso de incluir prácticas externas) Se garantiza la posibilidad de que todo el estudiantado pueda realizarlas.</t>
  </si>
  <si>
    <t>1. Se prevén canales de información donde se publicitará la información sobre la enseñanza propia, identificándola de manera inequívoca como tal y diferenciada de las titulaciones oficiales</t>
  </si>
  <si>
    <t>2. La información que se hará pública es objetiva, responde a la información básica y necesaria para la toma de decisiones del estudiante: lugar donde se imparte, modalidad de enseñanza, número de plazas, número de créditos ECTS, criterios de admisión, resultados académicos y/o profesionales, plan de estudios, sistema de evaluación, metodologías docentes y tipología del título o certificado que se expide.</t>
  </si>
  <si>
    <t>5. El órgano y los procedimientos de admisión están definidos.</t>
  </si>
  <si>
    <t>Firma del Responsable del Sistema de Garantía de Calidad</t>
  </si>
  <si>
    <t>6. Se facilita información sobre el reconocimiento o incorporación de créditos o bien si la enseñanza forma parte de otra oferta formativa más amplia (si procede).</t>
  </si>
  <si>
    <r>
      <rPr>
        <b/>
        <sz val="12"/>
        <color theme="1"/>
        <rFont val="Arial Narrow"/>
        <family val="2"/>
      </rPr>
      <t>Descripción</t>
    </r>
    <r>
      <rPr>
        <b/>
        <sz val="12"/>
        <color rgb="FF008080"/>
        <rFont val="Arial Narrow"/>
        <family val="2"/>
      </rPr>
      <t xml:space="preserve"> </t>
    </r>
    <r>
      <rPr>
        <i/>
        <sz val="10"/>
        <color rgb="FF008080"/>
        <rFont val="Arial Narrow"/>
        <family val="2"/>
      </rPr>
      <t xml:space="preserve">(Breve descripción de lo que se consigue: para qué habilita, cualifica, capacita).  Si se imparte en inglés, debe redactarse en inglés. </t>
    </r>
  </si>
  <si>
    <t>Título en colaboración</t>
  </si>
  <si>
    <t>Interuniversitario</t>
  </si>
  <si>
    <t>Con otra entidad o institución pública</t>
  </si>
  <si>
    <t>Con otra entidad o institución privada</t>
  </si>
  <si>
    <t>INGENIUM</t>
  </si>
  <si>
    <t>Con una entidad o institución extranjera</t>
  </si>
  <si>
    <t>En su caso, indicar las entidades o instituciones colaboradoras</t>
  </si>
  <si>
    <r>
      <rPr>
        <b/>
        <sz val="12"/>
        <color theme="1"/>
        <rFont val="Arial Narrow"/>
        <family val="2"/>
      </rPr>
      <t>Destinatarios</t>
    </r>
    <r>
      <rPr>
        <i/>
        <sz val="12"/>
        <color rgb="FF008080"/>
        <rFont val="Arial Narrow"/>
        <family val="2"/>
      </rPr>
      <t xml:space="preserve"> </t>
    </r>
    <r>
      <rPr>
        <i/>
        <sz val="10"/>
        <color rgb="FF008080"/>
        <rFont val="Arial Narrow"/>
        <family val="2"/>
      </rPr>
      <t xml:space="preserve">(Perfil del estudiante a quien se dirige el curso, </t>
    </r>
    <r>
      <rPr>
        <b/>
        <i/>
        <sz val="10"/>
        <color rgb="FF008080"/>
        <rFont val="Arial Narrow"/>
        <family val="2"/>
      </rPr>
      <t xml:space="preserve">indicando los requisitos de acceso </t>
    </r>
    <r>
      <rPr>
        <i/>
        <sz val="10"/>
        <color rgb="FF008080"/>
        <rFont val="Arial Narrow"/>
        <family val="2"/>
      </rPr>
      <t>si los hubiera)</t>
    </r>
    <r>
      <rPr>
        <sz val="10"/>
        <color rgb="FF008080"/>
        <rFont val="Arial Narrow"/>
        <family val="2"/>
      </rPr>
      <t xml:space="preserve">. </t>
    </r>
    <r>
      <rPr>
        <i/>
        <sz val="10"/>
        <color rgb="FF008080"/>
        <rFont val="Arial Narrow"/>
        <family val="2"/>
      </rPr>
      <t>Si se imparte en inglés, debe redactarse en inglés.</t>
    </r>
  </si>
  <si>
    <t>Lugar donde se impartirá la enseñanza</t>
  </si>
  <si>
    <t>Acceso y admisión de estudiantes</t>
  </si>
  <si>
    <r>
      <rPr>
        <b/>
        <sz val="12"/>
        <color theme="1"/>
        <rFont val="Arial Narrow"/>
        <family val="2"/>
      </rPr>
      <t>Horas lectivas</t>
    </r>
    <r>
      <rPr>
        <sz val="12"/>
        <color theme="1"/>
        <rFont val="Arial Narrow"/>
        <family val="2"/>
      </rPr>
      <t xml:space="preserve"> </t>
    </r>
    <r>
      <rPr>
        <sz val="10"/>
        <color rgb="FF008080"/>
        <rFont val="Arial Narrow"/>
        <family val="2"/>
      </rPr>
      <t>(en general, 7.5 * ECTS)</t>
    </r>
  </si>
  <si>
    <t>Otro ISCED-F (en su caso)</t>
  </si>
  <si>
    <t>Lugar de impartición y fechas del programa</t>
  </si>
  <si>
    <t>Responsables académicos</t>
  </si>
  <si>
    <t>Colaboradores y promotores externos</t>
  </si>
  <si>
    <t>Periodo de preinscripción, desde</t>
  </si>
  <si>
    <t>Periodo de matriculación, desde</t>
  </si>
  <si>
    <t>Periodo de impartición, desde</t>
  </si>
  <si>
    <t>Artes y Humanidades</t>
  </si>
  <si>
    <t>Ciencias</t>
  </si>
  <si>
    <t>Ciencias de la Salud</t>
  </si>
  <si>
    <t>Rama(s) de conocimiento</t>
  </si>
  <si>
    <t>Ciencias Sociales y Jurídicas</t>
  </si>
  <si>
    <t>Ingeniería</t>
  </si>
  <si>
    <t xml:space="preserve"> Ingeniería</t>
  </si>
  <si>
    <t>Artes_y_Humanidades</t>
  </si>
  <si>
    <t>Ciencias_de_la_Salud</t>
  </si>
  <si>
    <t>Ciencias_Sociales_y_Jurídicas</t>
  </si>
  <si>
    <t>Correo electrónico de información</t>
  </si>
  <si>
    <t>Propuesta la gestión económica externa</t>
  </si>
  <si>
    <t>Se propone con colaborador externo</t>
  </si>
  <si>
    <t>Existe colaborador</t>
  </si>
  <si>
    <t>Créditos y horas lectivas</t>
  </si>
  <si>
    <t>Ramas deconocimiento</t>
  </si>
  <si>
    <t>Presencial</t>
  </si>
  <si>
    <t>Híbrido</t>
  </si>
  <si>
    <t>Virtual (síncrono)</t>
  </si>
  <si>
    <t>Virtual (asíncrono)</t>
  </si>
  <si>
    <t>Virtual (síncrono/asíncrono)</t>
  </si>
  <si>
    <r>
      <t>Validez</t>
    </r>
    <r>
      <rPr>
        <i/>
        <sz val="11"/>
        <rFont val="Arial Narrow"/>
        <family val="2"/>
      </rPr>
      <t xml:space="preserve"> (si procede)</t>
    </r>
  </si>
  <si>
    <t>Nºestudiantes en edición anterior</t>
  </si>
  <si>
    <t>Nivel de Cualificación (EQF)</t>
  </si>
  <si>
    <t>Áreas de conocimiento</t>
  </si>
  <si>
    <t>005. Álgebra.</t>
  </si>
  <si>
    <t>010. Análisis Geográfico Regional.</t>
  </si>
  <si>
    <t>015. Análisis Matemático.</t>
  </si>
  <si>
    <t>020. Anatomía Patológica.</t>
  </si>
  <si>
    <t>025. Anatomía y Anatomía Patológica Comparadas.</t>
  </si>
  <si>
    <t>027. Anatomía y Embriología Humana.</t>
  </si>
  <si>
    <t>028. Antropología Física.</t>
  </si>
  <si>
    <t>030. Antropología Social.</t>
  </si>
  <si>
    <t>033. Arqueología.</t>
  </si>
  <si>
    <t>035. Arquitectura y Tecnología de Computadores.</t>
  </si>
  <si>
    <t>038. Astronomía y Astrofísica.</t>
  </si>
  <si>
    <t>040. Biblioteconomía y Documentación.</t>
  </si>
  <si>
    <t>050. Biología Celular.</t>
  </si>
  <si>
    <t>060. Bioquímica y Biología Molecular.</t>
  </si>
  <si>
    <t>063. Botánica.</t>
  </si>
  <si>
    <t>065. Ciencia de los Materiales e Ingeniería Metalúrgica.</t>
  </si>
  <si>
    <t>070. Ciencia Política y de la Administración.</t>
  </si>
  <si>
    <t>075. Ciencia de la Computación e Inteligencia Artificial.</t>
  </si>
  <si>
    <t>083. Ciencias y Técnicas de la Navegación.</t>
  </si>
  <si>
    <t>085. Ciencias y Técnicas Historiográficas.</t>
  </si>
  <si>
    <t>090. Cirugía.</t>
  </si>
  <si>
    <t>095. Comercialización e Investigación de Mercados.</t>
  </si>
  <si>
    <t>100. Composición Arquitectónica.</t>
  </si>
  <si>
    <t>105. Comunicación Audiovisual y Publicidad.</t>
  </si>
  <si>
    <t>110. Construcciones Arquitectónicas.</t>
  </si>
  <si>
    <t>115. Construcciones Navales.</t>
  </si>
  <si>
    <t>120. Cristalografía y Mineralogía.</t>
  </si>
  <si>
    <t>125. Derecho Administrativo.</t>
  </si>
  <si>
    <t>130. Derecho Civil.</t>
  </si>
  <si>
    <t>135. Derecho Constitucional.</t>
  </si>
  <si>
    <t>140. Derecho del Trabajo y de la Seguridad Social.</t>
  </si>
  <si>
    <t>145. Derecho Eclesiástico de Estado.</t>
  </si>
  <si>
    <t>150. Derecho Financiero y Tributario.</t>
  </si>
  <si>
    <t>155. Derecho Internacional Privado.</t>
  </si>
  <si>
    <t>160. Derecho Internacional Público y Relaciones Internacionales.</t>
  </si>
  <si>
    <t>165. Derecho Mercantil.</t>
  </si>
  <si>
    <t>170. Derecho Penal.</t>
  </si>
  <si>
    <t>175. Derecho Procesal.</t>
  </si>
  <si>
    <t>180. Derecho Romano.</t>
  </si>
  <si>
    <t>183. Dermatología.</t>
  </si>
  <si>
    <t>185. Dibujo.</t>
  </si>
  <si>
    <t>187. Didáctica de la Expresión Corporal.</t>
  </si>
  <si>
    <t>189. Didáctica de la Expresión Musical.</t>
  </si>
  <si>
    <t>193. Didáctica de la Expresión Plástica.</t>
  </si>
  <si>
    <t>195. Didáctica de la Lengua y Literatura.</t>
  </si>
  <si>
    <t>200. Didáctica de la Matemática.</t>
  </si>
  <si>
    <t>205. Didáctica de las Ciencias Experimentales.</t>
  </si>
  <si>
    <t>210. Didáctica de las Ciencias Sociales.</t>
  </si>
  <si>
    <t>215. Didáctica y Organización Escolar.</t>
  </si>
  <si>
    <t>220. Ecología.</t>
  </si>
  <si>
    <t>225. Economía Aplicada.</t>
  </si>
  <si>
    <t>230. Economía Financiera y Contabilidad.</t>
  </si>
  <si>
    <t>235. Economía, Sociología y Política Agraria.</t>
  </si>
  <si>
    <t>240. Edafología y Química Agrícola.</t>
  </si>
  <si>
    <t>245. Educación Física y Deportiva.</t>
  </si>
  <si>
    <t>247. Electromagnetismo.</t>
  </si>
  <si>
    <t>250. Electrónica.</t>
  </si>
  <si>
    <t>255. Enfermería.</t>
  </si>
  <si>
    <t>260. Escultura.</t>
  </si>
  <si>
    <t>265. Estadística e Investigación Operativa.</t>
  </si>
  <si>
    <t>270. Estética y Teoría de las Artes.</t>
  </si>
  <si>
    <t>275. Estomatología.</t>
  </si>
  <si>
    <t>280. Estratigrafía.</t>
  </si>
  <si>
    <t>285. Estudios Árabes e Islámicos.</t>
  </si>
  <si>
    <t>290. Estudios Hebreos y Arameos.</t>
  </si>
  <si>
    <t>295. Explotación de las Minas.</t>
  </si>
  <si>
    <t>300. Expresión Gráfica Arquitectónica.</t>
  </si>
  <si>
    <t>305. Expresión Gráfica en la Ingeniería.</t>
  </si>
  <si>
    <t>310. Farmacia y Tecnología Farmacéutica.</t>
  </si>
  <si>
    <t>315. Farmacología.</t>
  </si>
  <si>
    <t>320. Filología Alemana.</t>
  </si>
  <si>
    <t>325. Filología Catalana.</t>
  </si>
  <si>
    <t>327. Filología Eslava.</t>
  </si>
  <si>
    <t>335. Filología Francesa.</t>
  </si>
  <si>
    <t>340. Filología Griega.</t>
  </si>
  <si>
    <t>345. Filología Inglesa.</t>
  </si>
  <si>
    <t>350. Filología Italiana.</t>
  </si>
  <si>
    <t>355. Filología Latina.</t>
  </si>
  <si>
    <t>360. Filología Románica.</t>
  </si>
  <si>
    <t>365. Filología Vasca.</t>
  </si>
  <si>
    <t>370. Filología Gallega y Portuguesa.</t>
  </si>
  <si>
    <t>375. Filosofía.</t>
  </si>
  <si>
    <t>381. Filosofía del Derecho.</t>
  </si>
  <si>
    <t>383. Filosofía Moral.</t>
  </si>
  <si>
    <t>385. Física Aplicada.</t>
  </si>
  <si>
    <t>390. Física Atómica Molecular y Nuclear.</t>
  </si>
  <si>
    <t>395. Física de la Materia Condensada.</t>
  </si>
  <si>
    <t>398. Física de la Tierra.</t>
  </si>
  <si>
    <t>400. Física de la Tierra, Astronomía y Astrofísica.</t>
  </si>
  <si>
    <t>405. Física Teórica.</t>
  </si>
  <si>
    <t>410. Fisiología.</t>
  </si>
  <si>
    <t>412. Fisiología Vegetal.</t>
  </si>
  <si>
    <t>413. Fisioterapia.</t>
  </si>
  <si>
    <t>415. Fundamentos de Análisis Económico.</t>
  </si>
  <si>
    <t>420. Genética.</t>
  </si>
  <si>
    <t>427. Geodinámica Externa.</t>
  </si>
  <si>
    <t>428. Geodinámica Interna.</t>
  </si>
  <si>
    <t>430. Geografía Física.</t>
  </si>
  <si>
    <t>435. Geografía Humana.</t>
  </si>
  <si>
    <t>440. Geometría y Topología.</t>
  </si>
  <si>
    <t>443. Histología.</t>
  </si>
  <si>
    <t>445. Historia Antigua.</t>
  </si>
  <si>
    <t>450. Historia Contemporánea.</t>
  </si>
  <si>
    <t>455. Historia de América.</t>
  </si>
  <si>
    <t>460. Historia de la Ciencia.</t>
  </si>
  <si>
    <t>465. Historia del Arte.</t>
  </si>
  <si>
    <t>470. Historia del Derecho y de las Instituciones.</t>
  </si>
  <si>
    <t>475. Historia del Pensamiento y de los Movimientos Sociales y Políticos.</t>
  </si>
  <si>
    <t>480. Historia e Instituciones Económicas.</t>
  </si>
  <si>
    <t>485. Historia Medieval.</t>
  </si>
  <si>
    <t>490. Historia Moderna.</t>
  </si>
  <si>
    <t>495. Ingeniería Aeroespacial.</t>
  </si>
  <si>
    <t>500. Ingeniería Agroforestal.</t>
  </si>
  <si>
    <t>505. Ingeniería Cartográfica Geodésica y Fotogrametría.</t>
  </si>
  <si>
    <t>510. Ingeniería de la Construcción.</t>
  </si>
  <si>
    <t>515. Ingeniería de los Procesos de Fabricación.</t>
  </si>
  <si>
    <t>520. Ingeniería de Sistemas y Automática.</t>
  </si>
  <si>
    <t>525. Ingeniería del Terreno.</t>
  </si>
  <si>
    <t>530. Ingeniería e Infraestructuras de los Transportes.</t>
  </si>
  <si>
    <t>535. Ingeniería Eléctrica.</t>
  </si>
  <si>
    <t>540. Ingeniería Hidráulica.</t>
  </si>
  <si>
    <t>545. Ingeniería Mecánica.</t>
  </si>
  <si>
    <t>550. Ingeniería Nuclear.</t>
  </si>
  <si>
    <t>555. Ingeniería Química.</t>
  </si>
  <si>
    <t>560. Ingeniería Telemática.</t>
  </si>
  <si>
    <t>565. Ingeniería Textil y Papelera.</t>
  </si>
  <si>
    <t>566. Inmunología.</t>
  </si>
  <si>
    <t>567. Lengua Española.</t>
  </si>
  <si>
    <t>568. Estudios de Asia Oriental.</t>
  </si>
  <si>
    <t>570. Lenguajes y Sistemas Informáticos.</t>
  </si>
  <si>
    <t>575. Lingüística General.</t>
  </si>
  <si>
    <t>580. Lingüística Indoeuropea.</t>
  </si>
  <si>
    <t>583. Literatura Española.</t>
  </si>
  <si>
    <t>585. Lógica y Filosofía de la Ciencia.</t>
  </si>
  <si>
    <t>590. Máquinas y Motores Térmicos.</t>
  </si>
  <si>
    <t>595. Matemática Aplicada.</t>
  </si>
  <si>
    <t>600. Mecánica de Fluidos.</t>
  </si>
  <si>
    <t>605. Mecánica de Medios Continuos y Teoría de Estructuras.</t>
  </si>
  <si>
    <t>610. Medicina.</t>
  </si>
  <si>
    <t>613. Medicina Legal y Forense.</t>
  </si>
  <si>
    <t>615. Medicina Preventiva y Salud Pública.</t>
  </si>
  <si>
    <t>617. Medicina y Cirugía Animal.</t>
  </si>
  <si>
    <t>620. Metodología de las Ciencias del Comportamiento.</t>
  </si>
  <si>
    <t>623. Métodos Cuantitativos para la Economía y la Empresa</t>
  </si>
  <si>
    <t>625. Métodos de Investigación y Diagnóstico en Educación.</t>
  </si>
  <si>
    <t>630. Microbiología.</t>
  </si>
  <si>
    <t>635. Música.</t>
  </si>
  <si>
    <t>640. Nutrición y Bromatología.</t>
  </si>
  <si>
    <t>645. Obstetricia y Ginecología.</t>
  </si>
  <si>
    <t>646. Oftalmología.</t>
  </si>
  <si>
    <t>647. Óptica.</t>
  </si>
  <si>
    <t>650. Organización de Empresas.</t>
  </si>
  <si>
    <t>653. Otorrinolaringología.</t>
  </si>
  <si>
    <t>655. Paleontología.</t>
  </si>
  <si>
    <t>660. Parasitología.</t>
  </si>
  <si>
    <t>670. Pediatría.</t>
  </si>
  <si>
    <t>675. Periodismo.</t>
  </si>
  <si>
    <t>680. Personalidad, Evaluación y Tratamiento Psicológico.</t>
  </si>
  <si>
    <t>685. Petrología y Geoquímica.</t>
  </si>
  <si>
    <t>690. Pintura.</t>
  </si>
  <si>
    <t>695. Prehistoria.</t>
  </si>
  <si>
    <t>700. Producción Animal.</t>
  </si>
  <si>
    <t>705. Producción Vegetal.</t>
  </si>
  <si>
    <t>710. Prospección e Investigación Minera.</t>
  </si>
  <si>
    <t>715. Proyectos Arquitectónicos.</t>
  </si>
  <si>
    <t>720. Proyectos de Ingeniería.</t>
  </si>
  <si>
    <t>725. Psicobiología.</t>
  </si>
  <si>
    <t>730. Psicología Básica.</t>
  </si>
  <si>
    <t>735. Psicología Evolutiva y de la Educación.</t>
  </si>
  <si>
    <t>740. Psicología Social.</t>
  </si>
  <si>
    <t>745. Psiquiatría.</t>
  </si>
  <si>
    <t>750. Química Analítica.</t>
  </si>
  <si>
    <t>755. Química Física.</t>
  </si>
  <si>
    <t>760. Química Inorgánica.</t>
  </si>
  <si>
    <t>765. Química Orgánica.</t>
  </si>
  <si>
    <t>770. Radiología y Medicina Física.</t>
  </si>
  <si>
    <t>773. Sanidad Animal.</t>
  </si>
  <si>
    <t>775. Sociología.</t>
  </si>
  <si>
    <t>780. Tecnología de los Alimentos.</t>
  </si>
  <si>
    <t>785. Tecnología Electrónica.</t>
  </si>
  <si>
    <t>790. Tecnologías del Medio Ambiente.</t>
  </si>
  <si>
    <t>796. Teoría de la Literatura y Literatura Comparada.</t>
  </si>
  <si>
    <t>800. Teoría de la Señal y Comunicaciones.</t>
  </si>
  <si>
    <t>805. Teoría e Historia de la Educación.</t>
  </si>
  <si>
    <t>807. Toxicología.</t>
  </si>
  <si>
    <t>813. Trabajo Social y Servicios Sociales.</t>
  </si>
  <si>
    <t>814. Traducción e Interpretación.</t>
  </si>
  <si>
    <t>815. Urbanística y Ordenación del Territorio.</t>
  </si>
  <si>
    <t>817. Urología.</t>
  </si>
  <si>
    <t>819. Zoología.</t>
  </si>
  <si>
    <t>830. Traumatología y Ortopedia.</t>
  </si>
  <si>
    <t>Gestión académica y económica en IUDE</t>
  </si>
  <si>
    <r>
      <t xml:space="preserve">En caso de que el Centro Gestor sea </t>
    </r>
    <r>
      <rPr>
        <b/>
        <i/>
        <u/>
        <sz val="12"/>
        <color rgb="FF008080"/>
        <rFont val="Arial Narrow"/>
        <family val="2"/>
      </rPr>
      <t>el IUDE</t>
    </r>
    <r>
      <rPr>
        <b/>
        <i/>
        <sz val="12"/>
        <color rgb="FF008080"/>
        <rFont val="Arial Narrow"/>
        <family val="2"/>
      </rPr>
      <t xml:space="preserve">, se requiere cumplimentar el siguiente apartado: </t>
    </r>
  </si>
  <si>
    <t xml:space="preserve">Calendario y horario </t>
  </si>
  <si>
    <t>Capacidades/competencias ESCO</t>
  </si>
  <si>
    <t>Otras capacidades/competencias</t>
  </si>
  <si>
    <t>Tipo de formación en colaboración</t>
  </si>
  <si>
    <t>Convenios</t>
  </si>
  <si>
    <t>Nombre y descripción</t>
  </si>
  <si>
    <t xml:space="preserve">Fecha del convenio </t>
  </si>
  <si>
    <r>
      <t xml:space="preserve">Otorgado por </t>
    </r>
    <r>
      <rPr>
        <i/>
        <sz val="10"/>
        <color rgb="FF009999"/>
        <rFont val="Arial Narrow"/>
        <family val="2"/>
      </rPr>
      <t>(Institución o entidad que certifica el derecho)</t>
    </r>
  </si>
  <si>
    <t xml:space="preserve">Tarifa general en € </t>
  </si>
  <si>
    <t>Otros (p.e., trabajadores de la Universidad de Oviedo)</t>
  </si>
  <si>
    <r>
      <t xml:space="preserve">Becas ofrecidas por entidades colaboradoras </t>
    </r>
    <r>
      <rPr>
        <i/>
        <sz val="11"/>
        <color theme="1"/>
        <rFont val="Arial Narrow"/>
        <family val="2"/>
      </rPr>
      <t>(indicar nombre de la entidad):</t>
    </r>
  </si>
  <si>
    <t>ESTUDIANTES SIN BECA NI DESCUENTO</t>
  </si>
  <si>
    <t>Importe</t>
  </si>
  <si>
    <t xml:space="preserve">Gastos de instalaciones </t>
  </si>
  <si>
    <r>
      <rPr>
        <b/>
        <sz val="12"/>
        <color theme="1"/>
        <rFont val="Arial Narrow"/>
        <family val="2"/>
      </rPr>
      <t>Criterios de admisión</t>
    </r>
    <r>
      <rPr>
        <i/>
        <sz val="12"/>
        <color rgb="FF008080"/>
        <rFont val="Arial Narrow"/>
        <family val="2"/>
      </rPr>
      <t xml:space="preserve"> </t>
    </r>
    <r>
      <rPr>
        <i/>
        <sz val="10"/>
        <color rgb="FF008080"/>
        <rFont val="Arial Narrow"/>
        <family val="2"/>
      </rPr>
      <t>(Ponderados para aplicar si las solicitudes superan las plazas disponibles. Si se requiere documentación a aportar adicional a lo indicado en la Normativa de Enseñanzas Propias, se debe especificar en este apartado). Si se imparte en inglés, debe redactarse en inglés.</t>
    </r>
  </si>
  <si>
    <r>
      <rPr>
        <b/>
        <sz val="12"/>
        <color theme="1"/>
        <rFont val="Arial Narrow"/>
        <family val="2"/>
      </rPr>
      <t>Becas y criterios de adjudicación</t>
    </r>
    <r>
      <rPr>
        <i/>
        <sz val="12"/>
        <color rgb="FF008080"/>
        <rFont val="Arial Narrow"/>
        <family val="2"/>
      </rPr>
      <t xml:space="preserve"> </t>
    </r>
    <r>
      <rPr>
        <i/>
        <sz val="10"/>
        <color rgb="FF008080"/>
        <rFont val="Arial Narrow"/>
        <family val="2"/>
      </rPr>
      <t>(Si existen becas, se debe incluir información sobre número y cuantía, así como los requisitos para optar a una beca y los criterios de adjudicación). Redactar en inglés si el curso se imparte en dicho idioma.</t>
    </r>
  </si>
  <si>
    <r>
      <rPr>
        <b/>
        <sz val="12"/>
        <rFont val="Arial Narrow"/>
        <family val="2"/>
      </rPr>
      <t>Denominación de la microcredencial</t>
    </r>
    <r>
      <rPr>
        <sz val="12"/>
        <rFont val="Arial Narrow"/>
        <family val="2"/>
      </rPr>
      <t xml:space="preserve">   </t>
    </r>
    <r>
      <rPr>
        <i/>
        <sz val="10"/>
        <color rgb="FF008080"/>
        <rFont val="Arial Narrow"/>
        <family val="2"/>
      </rPr>
      <t>(Español, NO incluir la palabra microcredencial)</t>
    </r>
  </si>
  <si>
    <r>
      <rPr>
        <b/>
        <sz val="12"/>
        <rFont val="Arial Narrow"/>
        <family val="2"/>
      </rPr>
      <t xml:space="preserve">Denominación en inglés                                  </t>
    </r>
    <r>
      <rPr>
        <i/>
        <sz val="10"/>
        <color rgb="FF008080"/>
        <rFont val="Arial Narrow"/>
        <family val="2"/>
      </rPr>
      <t>(NO incluir la palabra microcredencial)</t>
    </r>
  </si>
  <si>
    <r>
      <t xml:space="preserve">Apartados de la propuesta:
Resultados de aprendizaje, actividades y planificación
Sistemas de evaluación y criterios </t>
    </r>
    <r>
      <rPr>
        <sz val="10"/>
        <color rgb="FF008080"/>
        <rFont val="Arial Narrow"/>
        <family val="2"/>
      </rPr>
      <t>[Evidencias adicionales, en su caso]</t>
    </r>
  </si>
  <si>
    <t>2. El perfil docente, investigador o, en su caso, profesional del personal académico se adecua a la docencia asignada ( tal y como se refleja en los curricula vitae aportados con la propuesta).</t>
  </si>
  <si>
    <t>9. Promueve valores democráticos, de igualdad y/o los Objetivos de Desarrollo Sostenible</t>
  </si>
  <si>
    <t>10. Se asegura un lenguaje inclusivo en la denominación y los datos descriptivos de la microcredencial</t>
  </si>
  <si>
    <t>Forma parte de otra oferta formativa de enseñanzas propias</t>
  </si>
  <si>
    <t>Otros (especificar)</t>
  </si>
  <si>
    <r>
      <t>Denominación del Resultado de aprendizaje 1</t>
    </r>
    <r>
      <rPr>
        <b/>
        <sz val="10"/>
        <color theme="1"/>
        <rFont val="Arial Narrow"/>
        <family val="2"/>
      </rPr>
      <t xml:space="preserve"> </t>
    </r>
    <r>
      <rPr>
        <i/>
        <sz val="10"/>
        <color rgb="FF008080"/>
        <rFont val="Arial Narrow"/>
        <family val="2"/>
      </rPr>
      <t>(Nombre que lo identifica)</t>
    </r>
  </si>
  <si>
    <r>
      <t>Denominación del Resultado de aprendizaje 5</t>
    </r>
    <r>
      <rPr>
        <b/>
        <sz val="10"/>
        <color theme="1"/>
        <rFont val="Arial Narrow"/>
        <family val="2"/>
      </rPr>
      <t xml:space="preserve"> </t>
    </r>
    <r>
      <rPr>
        <i/>
        <sz val="10"/>
        <color rgb="FF008080"/>
        <rFont val="Arial Narrow"/>
        <family val="2"/>
      </rPr>
      <t>(Nombre que lo identifica)</t>
    </r>
  </si>
  <si>
    <r>
      <t>Denominación del Resultado de aprendizaje 4</t>
    </r>
    <r>
      <rPr>
        <b/>
        <sz val="10"/>
        <color theme="1"/>
        <rFont val="Arial Narrow"/>
        <family val="2"/>
      </rPr>
      <t xml:space="preserve"> </t>
    </r>
    <r>
      <rPr>
        <i/>
        <sz val="10"/>
        <color rgb="FF008080"/>
        <rFont val="Arial Narrow"/>
        <family val="2"/>
      </rPr>
      <t>(Nombre que lo identifica)</t>
    </r>
  </si>
  <si>
    <r>
      <t>Denominación del Resultado de aprendizaje 3</t>
    </r>
    <r>
      <rPr>
        <b/>
        <sz val="10"/>
        <color theme="1"/>
        <rFont val="Arial Narrow"/>
        <family val="2"/>
      </rPr>
      <t xml:space="preserve"> </t>
    </r>
    <r>
      <rPr>
        <i/>
        <sz val="10"/>
        <color rgb="FF008080"/>
        <rFont val="Arial Narrow"/>
        <family val="2"/>
      </rPr>
      <t>(Nombre que lo identifica)</t>
    </r>
  </si>
  <si>
    <r>
      <t>Denominación del Resultado de aprendizaje 2</t>
    </r>
    <r>
      <rPr>
        <b/>
        <sz val="10"/>
        <color theme="1"/>
        <rFont val="Arial Narrow"/>
        <family val="2"/>
      </rPr>
      <t xml:space="preserve"> </t>
    </r>
    <r>
      <rPr>
        <i/>
        <sz val="10"/>
        <color rgb="FF008080"/>
        <rFont val="Arial Narrow"/>
        <family val="2"/>
      </rPr>
      <t>(Nombre que lo identifica)</t>
    </r>
  </si>
  <si>
    <r>
      <t>Número mínimo de estudiantesplazas</t>
    </r>
    <r>
      <rPr>
        <sz val="12"/>
        <color rgb="FF009999"/>
        <rFont val="Arial Narrow"/>
        <family val="2"/>
      </rPr>
      <t xml:space="preserve"> (introducido en Datos generales)</t>
    </r>
  </si>
  <si>
    <r>
      <rPr>
        <b/>
        <i/>
        <sz val="12"/>
        <color rgb="FF009999"/>
        <rFont val="Arial Narrow"/>
        <family val="2"/>
      </rPr>
      <t>Recordatorio</t>
    </r>
    <r>
      <rPr>
        <b/>
        <sz val="12"/>
        <color rgb="FF009999"/>
        <rFont val="Arial Narrow"/>
        <family val="2"/>
      </rPr>
      <t>:</t>
    </r>
    <r>
      <rPr>
        <sz val="12"/>
        <color theme="1"/>
        <rFont val="Arial Narrow"/>
        <family val="2"/>
      </rPr>
      <t xml:space="preserve"> Número de plazas</t>
    </r>
    <r>
      <rPr>
        <sz val="12"/>
        <color rgb="FF009999"/>
        <rFont val="Arial Narrow"/>
        <family val="2"/>
      </rPr>
      <t xml:space="preserve"> (introducido en Datos generales)</t>
    </r>
  </si>
  <si>
    <r>
      <t>Gastos de material inventariable</t>
    </r>
    <r>
      <rPr>
        <b/>
        <sz val="12"/>
        <color rgb="FFC00000"/>
        <rFont val="Arial Narrow"/>
        <family val="2"/>
      </rPr>
      <t>*</t>
    </r>
  </si>
  <si>
    <r>
      <t>Gastos de personal</t>
    </r>
    <r>
      <rPr>
        <b/>
        <sz val="12"/>
        <color rgb="FFC00000"/>
        <rFont val="Arial Narrow"/>
        <family val="2"/>
      </rPr>
      <t>*</t>
    </r>
  </si>
  <si>
    <r>
      <t>Gastos de funcionamiento</t>
    </r>
    <r>
      <rPr>
        <b/>
        <sz val="12"/>
        <color rgb="FFC00000"/>
        <rFont val="Arial Narrow"/>
        <family val="2"/>
      </rPr>
      <t>*</t>
    </r>
  </si>
  <si>
    <r>
      <t>Alojamiento y transporte</t>
    </r>
    <r>
      <rPr>
        <b/>
        <sz val="12"/>
        <color rgb="FFC00000"/>
        <rFont val="Arial Narrow"/>
        <family val="2"/>
      </rPr>
      <t>*</t>
    </r>
  </si>
  <si>
    <t>*Todos los gastos deben ser elegibles teniendo en cuenta las bases de ejecución presupuestaria y las condiciones específicas de la financiación de que se dispondrá para la formación. En caso de duda, consulte con el CIP</t>
  </si>
  <si>
    <t>Tasa de abandono  (% participantes que no concluyen)</t>
  </si>
  <si>
    <t>Base imponible</t>
  </si>
  <si>
    <t>IVA</t>
  </si>
  <si>
    <t>Recuerde que no son subvencionables los costes indirectos (21%) ni los impuestos indirectos (IVA).</t>
  </si>
  <si>
    <t>MEMORIA ECONÓMICA MICROCREDENCIAL AUTOFINANCIADA</t>
  </si>
  <si>
    <t>Gastos no subvencionables (IVA+C.Indirectos, 21% de gastos totales)</t>
  </si>
  <si>
    <t>Financiación estimada por cada estudiante</t>
  </si>
  <si>
    <r>
      <t xml:space="preserve">Ha de ser </t>
    </r>
    <r>
      <rPr>
        <sz val="12"/>
        <color theme="1"/>
        <rFont val="Aptos Narrow"/>
        <family val="2"/>
      </rPr>
      <t>≥</t>
    </r>
  </si>
  <si>
    <r>
      <t xml:space="preserve">Ha de ser </t>
    </r>
    <r>
      <rPr>
        <sz val="12"/>
        <color theme="1"/>
        <rFont val="Aptos Narrow"/>
        <family val="2"/>
      </rPr>
      <t>≤</t>
    </r>
  </si>
  <si>
    <t>(dato a revisar una vez finalizada)</t>
  </si>
  <si>
    <t>Financiación corregida, por cada estudiante</t>
  </si>
  <si>
    <t>ESTIMACIÓN DE FINANCIÓN Y COSTE DE MATRÍCULA SUBVENCIONADA 
***RECUERDE QUE ES IMPRESCINDIBLE COMPROBAR LA ELIGIBILIDAD DE LOS GASTOS***</t>
  </si>
  <si>
    <t>TOTAL COSTE</t>
  </si>
  <si>
    <t>Costes de producción subvencionados (SIN IVA)</t>
  </si>
  <si>
    <t>Se solicita financiación del Plan Microcreds</t>
  </si>
  <si>
    <t>Número mínimo estimado de estudiantes que finalizan la formación</t>
  </si>
  <si>
    <t>EN EL CASO DE UNA MICROCREDENCIAL FINANCIADA POR EL PLAN MICROCREDS</t>
  </si>
  <si>
    <t>Corrección de los valores estimados en el caso de que  no se cumpla alguno de los criterios de financiación arriba indicados</t>
  </si>
  <si>
    <t>Suma de otros ingresos (compatibles con Microcreds)</t>
  </si>
  <si>
    <t>Por estudiante</t>
  </si>
  <si>
    <t>Precio estimado de matrícula por estudiante</t>
  </si>
  <si>
    <t>Precio de matrícula por estudiante corregido</t>
  </si>
  <si>
    <r>
      <rPr>
        <b/>
        <sz val="12"/>
        <rFont val="Arial Narrow"/>
        <family val="2"/>
      </rPr>
      <t xml:space="preserve">Justificación de la necesidad de formación </t>
    </r>
    <r>
      <rPr>
        <i/>
        <sz val="10"/>
        <color rgb="FF008080"/>
        <rFont val="Arial Narrow"/>
        <family val="2"/>
      </rPr>
      <t>Utilizar referentes externos que respalden su interés. Incluir enlaces a páginas web o documentos justificativos</t>
    </r>
    <r>
      <rPr>
        <sz val="12"/>
        <rFont val="Arial Narrow"/>
        <family val="2"/>
      </rPr>
      <t xml:space="preserve"> </t>
    </r>
    <r>
      <rPr>
        <i/>
        <sz val="10"/>
        <color rgb="FF008080"/>
        <rFont val="Arial Narrow"/>
        <family val="2"/>
      </rPr>
      <t>(Para insertar una nueva línea, presionar simultáneamente la tecla Alt e Intro, o ⌘ e Intro)</t>
    </r>
  </si>
  <si>
    <r>
      <rPr>
        <b/>
        <sz val="12"/>
        <rFont val="Arial Narrow"/>
        <family val="2"/>
      </rPr>
      <t>EXPLICACIÓN GENERAL DE LOS OBJETIVOS Y LA PLANIFICACIÓN DOCENTE</t>
    </r>
    <r>
      <rPr>
        <b/>
        <sz val="12"/>
        <color rgb="FF008080"/>
        <rFont val="Arial Narrow"/>
        <family val="2"/>
      </rPr>
      <t xml:space="preserve">
</t>
    </r>
    <r>
      <rPr>
        <i/>
        <sz val="10"/>
        <color rgb="FF008080"/>
        <rFont val="Arial Narrow"/>
        <family val="2"/>
      </rPr>
      <t>(Para insertar una nueva línea, presionar simultáneamente la tecla Alt e Intro, o ⌘ e Intro)</t>
    </r>
  </si>
  <si>
    <r>
      <rPr>
        <b/>
        <sz val="12"/>
        <rFont val="Arial Narrow"/>
        <family val="2"/>
      </rPr>
      <t xml:space="preserve">CONTENIDOS </t>
    </r>
    <r>
      <rPr>
        <b/>
        <sz val="12"/>
        <color rgb="FF008080"/>
        <rFont val="Arial Narrow"/>
        <family val="2"/>
      </rPr>
      <t xml:space="preserve">
</t>
    </r>
    <r>
      <rPr>
        <i/>
        <sz val="10"/>
        <color rgb="FF008080"/>
        <rFont val="Arial Narrow"/>
        <family val="2"/>
      </rPr>
      <t>(Para insertar una nueva línea, presionar simultáneamente la tecla Alt e Intro, o ⌘ e Intro)</t>
    </r>
  </si>
  <si>
    <r>
      <rPr>
        <b/>
        <sz val="12"/>
        <rFont val="Arial Narrow"/>
        <family val="2"/>
      </rPr>
      <t>ADECUACIÓN DEL EQUIPO DOCENTE</t>
    </r>
    <r>
      <rPr>
        <b/>
        <sz val="12"/>
        <color rgb="FF008080"/>
        <rFont val="Arial Narrow"/>
        <family val="2"/>
      </rPr>
      <t xml:space="preserve">
</t>
    </r>
    <r>
      <rPr>
        <i/>
        <sz val="10"/>
        <color rgb="FF008080"/>
        <rFont val="Arial Narrow"/>
        <family val="2"/>
      </rPr>
      <t>(Para insertar una nueva línea, presionar simultáneamente la tecla Alt e Intro, o ⌘ e Intro)</t>
    </r>
  </si>
  <si>
    <r>
      <rPr>
        <b/>
        <sz val="12"/>
        <rFont val="Arial Narrow"/>
        <family val="2"/>
      </rPr>
      <t>CRITERIOS DE LA CALIFICACIÓN FINAL</t>
    </r>
    <r>
      <rPr>
        <b/>
        <sz val="12"/>
        <color rgb="FF008080"/>
        <rFont val="Arial Narrow"/>
        <family val="2"/>
      </rPr>
      <t xml:space="preserve">
</t>
    </r>
    <r>
      <rPr>
        <i/>
        <sz val="10"/>
        <color rgb="FF008080"/>
        <rFont val="Arial Narrow"/>
        <family val="2"/>
      </rPr>
      <t>(Para insertar una nueva línea, presionar simultáneamente la tecla Alt e Intro, o ⌘ e Intro)</t>
    </r>
  </si>
  <si>
    <r>
      <rPr>
        <b/>
        <sz val="12"/>
        <rFont val="Arial Narrow"/>
        <family val="2"/>
      </rPr>
      <t>EXISTENCIA DE OTRA OFERTA SIMILAR</t>
    </r>
    <r>
      <rPr>
        <b/>
        <sz val="12"/>
        <color rgb="FF008080"/>
        <rFont val="Arial Narrow"/>
        <family val="2"/>
      </rPr>
      <t xml:space="preserve"> 
</t>
    </r>
    <r>
      <rPr>
        <b/>
        <sz val="10"/>
        <color rgb="FF008080"/>
        <rFont val="Arial Narrow"/>
        <family val="2"/>
      </rPr>
      <t xml:space="preserve">(Indique si existen títulos propios o enseñanzas regladas en la UO o en otras Universidades o entidades de contenido similar y especifique su denominación y su enlace web) </t>
    </r>
    <r>
      <rPr>
        <i/>
        <sz val="10"/>
        <color rgb="FF008080"/>
        <rFont val="Arial Narrow"/>
        <family val="2"/>
      </rPr>
      <t>(Para insertar una nueva línea, presionar simultáneamente la tecla Alt e Intro, o ⌘ e Intro)</t>
    </r>
  </si>
  <si>
    <r>
      <rPr>
        <b/>
        <sz val="12"/>
        <rFont val="Arial Narrow"/>
        <family val="2"/>
      </rPr>
      <t>JUSTIFICACIÓN DE LA PARTICIPACIÓN DE PROFESORADO INTERNO UO POR DEBAJO DEL 20%</t>
    </r>
    <r>
      <rPr>
        <b/>
        <sz val="12"/>
        <color rgb="FF008080"/>
        <rFont val="Arial Narrow"/>
        <family val="2"/>
      </rPr>
      <t xml:space="preserve">
</t>
    </r>
    <r>
      <rPr>
        <i/>
        <sz val="10"/>
        <color rgb="FF008080"/>
        <rFont val="Arial Narrow"/>
        <family val="2"/>
      </rPr>
      <t>(Para insertar una nueva línea, presionar simultáneamente la tecla Alt e Intro, o ⌘ e Intro)</t>
    </r>
  </si>
  <si>
    <r>
      <rPr>
        <b/>
        <sz val="12"/>
        <rFont val="Arial Narrow"/>
        <family val="2"/>
      </rPr>
      <t>Justificación de las estimaciones realizadas</t>
    </r>
    <r>
      <rPr>
        <b/>
        <sz val="12"/>
        <color rgb="FF008080"/>
        <rFont val="Arial Narrow"/>
        <family val="2"/>
      </rPr>
      <t xml:space="preserve">
</t>
    </r>
    <r>
      <rPr>
        <i/>
        <sz val="10"/>
        <color rgb="FF008080"/>
        <rFont val="Arial Narrow"/>
        <family val="2"/>
      </rPr>
      <t>(Para insertar una nueva línea, presionar simultáneamente la tecla Alt e Intro, o ⌘ e Intro)</t>
    </r>
  </si>
  <si>
    <r>
      <t xml:space="preserve">Propuestas de acciones de mejora
</t>
    </r>
    <r>
      <rPr>
        <i/>
        <sz val="10"/>
        <color rgb="FF008080"/>
        <rFont val="Arial Narrow"/>
        <family val="2"/>
      </rPr>
      <t>(Para insertar una nueva línea, presionar simultáneamente la tecla Alt e Intro, o ⌘ e Intro)</t>
    </r>
  </si>
  <si>
    <t>DERECHOS (si aplican, máximo 5)</t>
  </si>
  <si>
    <r>
      <rPr>
        <b/>
        <sz val="12"/>
        <rFont val="Arial Narrow"/>
        <family val="2"/>
      </rPr>
      <t xml:space="preserve">RECURSOS MATERIALES Y SERVICIOS (Justificación de la adecuación de los disponibles y previsión de adquisición de los necesarios) </t>
    </r>
    <r>
      <rPr>
        <i/>
        <sz val="10"/>
        <color rgb="FF008080"/>
        <rFont val="Arial Narrow"/>
        <family val="2"/>
      </rPr>
      <t>(Para insertar una nueva línea, presionar simultáneamente la tecla Alt e Intro, o ⌘ e Intro)</t>
    </r>
  </si>
  <si>
    <t>NIF/NIE</t>
  </si>
  <si>
    <t>(Una vez conocidos todos los ingresos, procedentes de las matrículas de los estudiantes, 
se revisará el Presupuesto incluyendo todo el detalle de Ingresos y Gastos.)</t>
  </si>
  <si>
    <r>
      <t xml:space="preserve">GASTOS </t>
    </r>
    <r>
      <rPr>
        <b/>
        <sz val="12"/>
        <color rgb="FFC00000"/>
        <rFont val="Arial Narrow"/>
        <family val="2"/>
      </rPr>
      <t>*ES IMPRESCINDIBLE COMPROBAR LA ELIGIBILIDAD DE LOS GASTOS*</t>
    </r>
  </si>
  <si>
    <t>Satisfacción del profesorado  [escala 1(min)-5 (max)]</t>
  </si>
  <si>
    <t>Satisfacción de empleadores  [escala 1(min)-5 (max)]</t>
  </si>
  <si>
    <r>
      <t xml:space="preserve">Capacidades/competencias ESCO </t>
    </r>
    <r>
      <rPr>
        <i/>
        <sz val="9"/>
        <color rgb="FF008080"/>
        <rFont val="Arial Narrow"/>
        <family val="2"/>
      </rPr>
      <t>https://esco.ec.europa.eu/es/classification/skill_main</t>
    </r>
  </si>
  <si>
    <t>ECTS</t>
  </si>
  <si>
    <t>ACTIVID.</t>
  </si>
  <si>
    <t>Horas Estudiante</t>
  </si>
  <si>
    <t>Fungible para la docencia, prácticas, fotocopias, etc.</t>
  </si>
  <si>
    <r>
      <t xml:space="preserve">Otros </t>
    </r>
    <r>
      <rPr>
        <i/>
        <sz val="10"/>
        <color rgb="FF008080"/>
        <rFont val="Arial Narrow"/>
        <family val="2"/>
      </rPr>
      <t>(a especificar, debidamente justificados)</t>
    </r>
  </si>
  <si>
    <r>
      <t>Otras retribuciones</t>
    </r>
    <r>
      <rPr>
        <i/>
        <sz val="11"/>
        <color rgb="FF008080"/>
        <rFont val="Arial Narrow"/>
        <family val="2"/>
      </rPr>
      <t xml:space="preserve"> (debidamente justificadas)</t>
    </r>
  </si>
  <si>
    <r>
      <t>Codirección</t>
    </r>
    <r>
      <rPr>
        <i/>
        <sz val="11"/>
        <color rgb="FF008080"/>
        <rFont val="Arial Narrow"/>
        <family val="2"/>
      </rPr>
      <t xml:space="preserve"> (si aplica)</t>
    </r>
  </si>
  <si>
    <t xml:space="preserve">*Obligatorio el de accidentes para alumnos salvo enseñanzas virtuales (online) </t>
  </si>
  <si>
    <r>
      <t>La financiación que recibirá cada microcredencial  será</t>
    </r>
    <r>
      <rPr>
        <b/>
        <sz val="12"/>
        <color theme="1"/>
        <rFont val="Arial Narrow"/>
        <family val="2"/>
      </rPr>
      <t xml:space="preserve"> </t>
    </r>
    <r>
      <rPr>
        <b/>
        <u/>
        <sz val="12"/>
        <color theme="1"/>
        <rFont val="Arial Narrow"/>
        <family val="2"/>
      </rPr>
      <t>el menor</t>
    </r>
    <r>
      <rPr>
        <sz val="12"/>
        <color theme="1"/>
        <rFont val="Arial Narrow"/>
        <family val="2"/>
      </rPr>
      <t xml:space="preserve"> de los siguientes importes:
- El 1</t>
    </r>
    <r>
      <rPr>
        <b/>
        <sz val="12"/>
        <color theme="1"/>
        <rFont val="Arial Narrow"/>
        <family val="2"/>
      </rPr>
      <t>00 % de sus costes directos de producción e impartición de formación, sin IVA</t>
    </r>
    <r>
      <rPr>
        <sz val="12"/>
        <color theme="1"/>
        <rFont val="Arial Narrow"/>
        <family val="2"/>
      </rPr>
      <t xml:space="preserve">
- </t>
    </r>
    <r>
      <rPr>
        <b/>
        <sz val="12"/>
        <color theme="1"/>
        <rFont val="Arial Narrow"/>
        <family val="2"/>
      </rPr>
      <t xml:space="preserve">650 euros por cada estudiante </t>
    </r>
    <r>
      <rPr>
        <b/>
        <u/>
        <sz val="12"/>
        <color theme="1"/>
        <rFont val="Arial Narrow"/>
        <family val="2"/>
      </rPr>
      <t>que haya superado con éxito la formación</t>
    </r>
    <r>
      <rPr>
        <b/>
        <sz val="12"/>
        <color theme="1"/>
        <rFont val="Arial Narrow"/>
        <family val="2"/>
      </rPr>
      <t>.</t>
    </r>
  </si>
  <si>
    <t>Esta estimación está basada en los gastos que se han indicado arriba, y en dos datos que debe introducir a continución: (1) el número de estudiantes que finalizan la formación  y (2) las posibles ayudas o ingresos adicionales (que han de ser compatibles con la financiación de Microcreds)</t>
  </si>
  <si>
    <t>v 1.2 12/01/2025</t>
  </si>
  <si>
    <r>
      <rPr>
        <b/>
        <sz val="12"/>
        <rFont val="Arial Narrow"/>
        <family val="2"/>
      </rPr>
      <t>Mecanismos de apoyo y orientación al estudiantado una vez matriculado</t>
    </r>
    <r>
      <rPr>
        <b/>
        <sz val="12"/>
        <color rgb="FF008080"/>
        <rFont val="Arial Narrow"/>
        <family val="2"/>
      </rPr>
      <t xml:space="preserve">
</t>
    </r>
    <r>
      <rPr>
        <i/>
        <sz val="10"/>
        <color rgb="FF008080"/>
        <rFont val="Arial Narrow"/>
        <family val="2"/>
      </rPr>
      <t>(Para insertar una nueva línea, presionar simultáneamente la tecla Alt e Intro, o ⌘ e Intro)</t>
    </r>
  </si>
  <si>
    <t>Satisfacción del estudiantado [escala 1(min)-5 (max)]</t>
  </si>
  <si>
    <t>Adicionalmente, se tiene que cumplir que el precio de la matrícula de las microcredenciales con carácter general  (i) no será inferior al 30% de los costes directos de producción e impartición y que (ii) en ningún caso podrá superar a los costes de producción e impartición.</t>
  </si>
  <si>
    <t>VºBº  Dirección del IUDE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</si>
</sst>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 &quot;€&quot;"/>
    <numFmt numFmtId="166" formatCode="dd\-mm\-yy;@"/>
    <numFmt numFmtId="167" formatCode="0.0"/>
    <numFmt numFmtId="168" formatCode="0.0%"/>
  </numFmts>
  <fonts count="7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1"/>
      <color rgb="FFF74139"/>
      <name val="Aptos Narrow"/>
      <family val="2"/>
      <scheme val="minor"/>
    </font>
    <font>
      <sz val="12"/>
      <color theme="1"/>
      <name val="Arial Narrow"/>
      <family val="2"/>
    </font>
    <font>
      <i/>
      <sz val="12"/>
      <color rgb="FF942494"/>
      <name val="Arial Narrow"/>
      <family val="2"/>
    </font>
    <font>
      <b/>
      <sz val="12"/>
      <color rgb="FF0070C0"/>
      <name val="Arial Narrow"/>
      <family val="2"/>
    </font>
    <font>
      <sz val="12"/>
      <name val="Arial Narrow"/>
      <family val="2"/>
    </font>
    <font>
      <sz val="12"/>
      <color theme="1"/>
      <name val="Aptos Narrow"/>
      <family val="2"/>
      <scheme val="minor"/>
    </font>
    <font>
      <i/>
      <sz val="12"/>
      <name val="Arial Narrow"/>
      <family val="2"/>
    </font>
    <font>
      <b/>
      <sz val="12"/>
      <color theme="1"/>
      <name val="Arial Narrow"/>
      <family val="2"/>
    </font>
    <font>
      <b/>
      <sz val="12"/>
      <name val="Arial Narrow"/>
      <family val="2"/>
    </font>
    <font>
      <b/>
      <sz val="12"/>
      <color theme="0"/>
      <name val="Arial Narrow"/>
      <family val="2"/>
    </font>
    <font>
      <b/>
      <sz val="12"/>
      <color rgb="FF942494"/>
      <name val="Arial Narrow"/>
      <family val="2"/>
    </font>
    <font>
      <sz val="12"/>
      <color rgb="FF942494"/>
      <name val="Arial Narrow"/>
      <family val="2"/>
    </font>
    <font>
      <sz val="12"/>
      <color rgb="FFFF0000"/>
      <name val="Arial Narrow"/>
      <family val="2"/>
    </font>
    <font>
      <i/>
      <sz val="12"/>
      <color theme="8" tint="-0.249977111117893"/>
      <name val="Arial Narrow"/>
      <family val="2"/>
    </font>
    <font>
      <b/>
      <sz val="12"/>
      <color rgb="FFFF0000"/>
      <name val="Arial Narrow"/>
      <family val="2"/>
    </font>
    <font>
      <u/>
      <sz val="12"/>
      <color rgb="FF942494"/>
      <name val="Arial Narrow"/>
      <family val="2"/>
    </font>
    <font>
      <sz val="12"/>
      <color theme="0"/>
      <name val="Arial Narrow"/>
      <family val="2"/>
    </font>
    <font>
      <b/>
      <sz val="12"/>
      <color rgb="FF008080"/>
      <name val="Arial Narrow"/>
      <family val="2"/>
    </font>
    <font>
      <i/>
      <sz val="10"/>
      <color rgb="FF008080"/>
      <name val="Arial Narrow"/>
      <family val="2"/>
    </font>
    <font>
      <b/>
      <sz val="14"/>
      <color rgb="FF008080"/>
      <name val="Arial Narrow"/>
      <family val="2"/>
    </font>
    <font>
      <i/>
      <sz val="12"/>
      <color rgb="FF008080"/>
      <name val="Arial Narrow"/>
      <family val="2"/>
    </font>
    <font>
      <sz val="10"/>
      <color rgb="FF008080"/>
      <name val="Arial Narrow"/>
      <family val="2"/>
    </font>
    <font>
      <b/>
      <i/>
      <sz val="12"/>
      <color rgb="FF008080"/>
      <name val="Arial Narrow"/>
      <family val="2"/>
    </font>
    <font>
      <b/>
      <i/>
      <u/>
      <sz val="12"/>
      <color rgb="FF008080"/>
      <name val="Arial Narrow"/>
      <family val="2"/>
    </font>
    <font>
      <sz val="12"/>
      <color rgb="FF0070C0"/>
      <name val="Arial Narrow"/>
      <family val="2"/>
    </font>
    <font>
      <b/>
      <i/>
      <sz val="10"/>
      <color rgb="FF008080"/>
      <name val="Arial Narrow"/>
      <family val="2"/>
    </font>
    <font>
      <b/>
      <sz val="12"/>
      <color theme="2"/>
      <name val="Arial Narrow"/>
      <family val="2"/>
    </font>
    <font>
      <b/>
      <sz val="10"/>
      <color theme="1"/>
      <name val="Arial Narrow"/>
      <family val="2"/>
    </font>
    <font>
      <b/>
      <sz val="12"/>
      <color rgb="FFC00000"/>
      <name val="Arial Narrow"/>
      <family val="2"/>
    </font>
    <font>
      <sz val="10"/>
      <color theme="1"/>
      <name val="Arial Narrow"/>
      <family val="2"/>
    </font>
    <font>
      <sz val="10"/>
      <name val="Arial Narrow"/>
      <family val="2"/>
    </font>
    <font>
      <sz val="12"/>
      <color rgb="FF008080"/>
      <name val="Arial Narrow"/>
      <family val="2"/>
    </font>
    <font>
      <b/>
      <sz val="10"/>
      <color rgb="FF008080"/>
      <name val="Arial Narrow"/>
      <family val="2"/>
    </font>
    <font>
      <sz val="11"/>
      <name val="Arial Narrow"/>
      <family val="2"/>
    </font>
    <font>
      <sz val="11"/>
      <color theme="1"/>
      <name val="Arial Narrow"/>
      <family val="2"/>
    </font>
    <font>
      <b/>
      <sz val="11"/>
      <color rgb="FFC00000"/>
      <name val="Aptos Narrow"/>
      <family val="2"/>
      <scheme val="minor"/>
    </font>
    <font>
      <b/>
      <sz val="11"/>
      <color rgb="FF008080"/>
      <name val="Arial Narrow"/>
      <family val="2"/>
    </font>
    <font>
      <sz val="8"/>
      <name val="Aptos Narrow"/>
      <family val="2"/>
      <scheme val="minor"/>
    </font>
    <font>
      <b/>
      <sz val="12"/>
      <color rgb="FFF74139"/>
      <name val="Arial Narrow"/>
      <family val="2"/>
    </font>
    <font>
      <i/>
      <sz val="11"/>
      <color theme="1"/>
      <name val="Arial Narrow"/>
      <family val="2"/>
    </font>
    <font>
      <sz val="12"/>
      <color rgb="FFF74139"/>
      <name val="Arial Narrow"/>
      <family val="2"/>
    </font>
    <font>
      <b/>
      <i/>
      <sz val="12"/>
      <color rgb="FFF74139"/>
      <name val="Arial Narrow"/>
      <family val="2"/>
    </font>
    <font>
      <b/>
      <sz val="12"/>
      <color rgb="FF00B050"/>
      <name val="Arial Narrow"/>
      <family val="2"/>
    </font>
    <font>
      <b/>
      <sz val="14"/>
      <color theme="1"/>
      <name val="Arial Narrow"/>
      <family val="2"/>
    </font>
    <font>
      <b/>
      <sz val="14"/>
      <name val="Arial Narrow"/>
      <family val="2"/>
    </font>
    <font>
      <sz val="11"/>
      <color theme="0"/>
      <name val="Arial Narrow"/>
      <family val="2"/>
    </font>
    <font>
      <b/>
      <sz val="10"/>
      <color theme="3"/>
      <name val="Arial Narrow"/>
      <family val="2"/>
    </font>
    <font>
      <b/>
      <u/>
      <sz val="10"/>
      <color theme="3"/>
      <name val="Arial Narrow"/>
      <family val="2"/>
    </font>
    <font>
      <b/>
      <sz val="11"/>
      <color rgb="FF008080"/>
      <name val="Aptos Narrow"/>
      <family val="2"/>
      <scheme val="minor"/>
    </font>
    <font>
      <i/>
      <sz val="10"/>
      <name val="Arial Narrow"/>
      <family val="2"/>
    </font>
    <font>
      <u/>
      <sz val="12"/>
      <name val="Arial Narrow"/>
      <family val="2"/>
    </font>
    <font>
      <sz val="11"/>
      <color theme="1"/>
      <name val="Aptos"/>
      <family val="2"/>
    </font>
    <font>
      <sz val="11"/>
      <color rgb="FFC00000"/>
      <name val="Arial Narrow"/>
      <family val="2"/>
    </font>
    <font>
      <b/>
      <sz val="11"/>
      <name val="Arial Narrow"/>
      <family val="2"/>
    </font>
    <font>
      <sz val="11"/>
      <color rgb="FF942494"/>
      <name val="Arial Narrow"/>
      <family val="2"/>
    </font>
    <font>
      <b/>
      <sz val="11"/>
      <color rgb="FF942494"/>
      <name val="Arial Narrow"/>
      <family val="2"/>
    </font>
    <font>
      <sz val="11"/>
      <color rgb="FFFF0000"/>
      <name val="Arial Narrow"/>
      <family val="2"/>
    </font>
    <font>
      <b/>
      <i/>
      <sz val="12"/>
      <name val="Arial Narrow"/>
      <family val="2"/>
    </font>
    <font>
      <i/>
      <sz val="11"/>
      <name val="Arial Narrow"/>
      <family val="2"/>
    </font>
    <font>
      <i/>
      <sz val="12"/>
      <color theme="1"/>
      <name val="Arial Narrow"/>
      <family val="2"/>
    </font>
    <font>
      <sz val="11"/>
      <color theme="1"/>
      <name val="Candara"/>
      <family val="2"/>
    </font>
    <font>
      <i/>
      <sz val="10"/>
      <color rgb="FF009999"/>
      <name val="Arial Narrow"/>
      <family val="2"/>
    </font>
    <font>
      <sz val="12"/>
      <color rgb="FF009999"/>
      <name val="Arial Narrow"/>
      <family val="2"/>
    </font>
    <font>
      <b/>
      <sz val="12"/>
      <color rgb="FF009999"/>
      <name val="Arial Narrow"/>
      <family val="2"/>
    </font>
    <font>
      <sz val="9"/>
      <color rgb="FFFF0000"/>
      <name val="Arial Narrow"/>
      <family val="2"/>
    </font>
    <font>
      <i/>
      <sz val="12"/>
      <color rgb="FF009999"/>
      <name val="Arial Narrow"/>
      <family val="2"/>
    </font>
    <font>
      <b/>
      <i/>
      <sz val="12"/>
      <color rgb="FF009999"/>
      <name val="Arial Narrow"/>
      <family val="2"/>
    </font>
    <font>
      <b/>
      <i/>
      <sz val="12"/>
      <color rgb="FFC00000"/>
      <name val="Arial Narrow"/>
      <family val="2"/>
    </font>
    <font>
      <i/>
      <sz val="11"/>
      <color rgb="FFC00000"/>
      <name val="Arial Narrow"/>
      <family val="2"/>
    </font>
    <font>
      <b/>
      <u/>
      <sz val="12"/>
      <color theme="1"/>
      <name val="Arial Narrow"/>
      <family val="2"/>
    </font>
    <font>
      <sz val="12"/>
      <color theme="1"/>
      <name val="Aptos Narrow"/>
      <family val="2"/>
    </font>
    <font>
      <b/>
      <sz val="10"/>
      <name val="Arial Narrow"/>
      <family val="2"/>
    </font>
    <font>
      <i/>
      <sz val="9"/>
      <color rgb="FF008080"/>
      <name val="Arial Narrow"/>
      <family val="2"/>
    </font>
    <font>
      <sz val="9"/>
      <color theme="1"/>
      <name val="Arial Narrow"/>
      <family val="2"/>
    </font>
    <font>
      <i/>
      <sz val="11"/>
      <color rgb="FF008080"/>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008080"/>
        <bgColor indexed="64"/>
      </patternFill>
    </fill>
    <fill>
      <patternFill patternType="solid">
        <fgColor rgb="FF009999"/>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7E6E6"/>
      </patternFill>
    </fill>
    <fill>
      <patternFill patternType="solid">
        <fgColor rgb="FFC0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style="thin">
        <color rgb="FF008080"/>
      </bottom>
      <diagonal/>
    </border>
    <border>
      <left/>
      <right/>
      <top/>
      <bottom style="thin">
        <color rgb="FF008080"/>
      </bottom>
      <diagonal/>
    </border>
    <border>
      <left/>
      <right style="thin">
        <color rgb="FF008080"/>
      </right>
      <top/>
      <bottom style="thin">
        <color rgb="FF008080"/>
      </bottom>
      <diagonal/>
    </border>
    <border>
      <left style="thin">
        <color rgb="FF008080"/>
      </left>
      <right style="thin">
        <color rgb="FF008080"/>
      </right>
      <top style="thin">
        <color rgb="FF008080"/>
      </top>
      <bottom style="thin">
        <color rgb="FF00808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441">
    <xf numFmtId="0" fontId="0" fillId="0" borderId="0" xfId="0"/>
    <xf numFmtId="0" fontId="5" fillId="0" borderId="0" xfId="0" applyFont="1"/>
    <xf numFmtId="0" fontId="11"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wrapText="1"/>
    </xf>
    <xf numFmtId="0" fontId="13" fillId="0" borderId="0" xfId="0" applyFont="1" applyAlignment="1">
      <alignment vertical="center"/>
    </xf>
    <xf numFmtId="0" fontId="7" fillId="0" borderId="0" xfId="0" applyFont="1" applyAlignment="1">
      <alignment vertical="center"/>
    </xf>
    <xf numFmtId="0" fontId="5" fillId="0" borderId="0" xfId="0" applyFont="1" applyAlignment="1">
      <alignment wrapText="1"/>
    </xf>
    <xf numFmtId="0" fontId="5" fillId="0" borderId="0" xfId="0" applyFont="1" applyAlignment="1">
      <alignment vertical="center" wrapText="1"/>
    </xf>
    <xf numFmtId="0" fontId="8" fillId="0" borderId="1" xfId="0" applyFont="1" applyBorder="1" applyAlignment="1" applyProtection="1">
      <alignment horizontal="center" vertical="center"/>
      <protection locked="0"/>
    </xf>
    <xf numFmtId="0" fontId="34" fillId="7" borderId="1" xfId="0"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0" fontId="33" fillId="0" borderId="0" xfId="0" applyFont="1" applyAlignment="1">
      <alignment horizontal="left"/>
    </xf>
    <xf numFmtId="0" fontId="38" fillId="0" borderId="0" xfId="0" applyFont="1"/>
    <xf numFmtId="0" fontId="34" fillId="0" borderId="1" xfId="0" applyFont="1" applyBorder="1" applyProtection="1">
      <protection locked="0"/>
    </xf>
    <xf numFmtId="2" fontId="34" fillId="7" borderId="1" xfId="0" applyNumberFormat="1" applyFont="1" applyFill="1" applyBorder="1" applyAlignment="1" applyProtection="1">
      <alignment wrapText="1"/>
      <protection locked="0"/>
    </xf>
    <xf numFmtId="0" fontId="34" fillId="0" borderId="1" xfId="0" applyFont="1" applyBorder="1" applyAlignment="1" applyProtection="1">
      <alignment horizontal="center"/>
      <protection locked="0"/>
    </xf>
    <xf numFmtId="0" fontId="34" fillId="0" borderId="1" xfId="0" applyFont="1" applyBorder="1" applyAlignment="1" applyProtection="1">
      <alignment horizontal="left"/>
      <protection locked="0"/>
    </xf>
    <xf numFmtId="2" fontId="34" fillId="7" borderId="1" xfId="0" applyNumberFormat="1" applyFont="1" applyFill="1" applyBorder="1" applyAlignment="1" applyProtection="1">
      <alignment horizontal="left" wrapText="1"/>
      <protection locked="0"/>
    </xf>
    <xf numFmtId="164" fontId="8" fillId="0" borderId="1" xfId="0" applyNumberFormat="1" applyFont="1" applyBorder="1" applyAlignment="1" applyProtection="1">
      <alignment horizontal="center" vertical="center"/>
      <protection locked="0"/>
    </xf>
    <xf numFmtId="16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9" fontId="8" fillId="0" borderId="1" xfId="0" applyNumberFormat="1" applyFont="1" applyBorder="1" applyAlignment="1" applyProtection="1">
      <alignment horizontal="center" vertical="center"/>
      <protection locked="0"/>
    </xf>
    <xf numFmtId="168" fontId="0" fillId="2" borderId="1" xfId="1" applyNumberFormat="1" applyFont="1" applyFill="1" applyBorder="1" applyAlignment="1" applyProtection="1">
      <alignment horizontal="center" vertical="center"/>
    </xf>
    <xf numFmtId="0" fontId="8" fillId="7"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8" fillId="7" borderId="1" xfId="0" applyNumberFormat="1" applyFont="1" applyFill="1" applyBorder="1" applyAlignment="1" applyProtection="1">
      <alignment horizontal="center" vertical="center"/>
      <protection locked="0"/>
    </xf>
    <xf numFmtId="0" fontId="2" fillId="0" borderId="0" xfId="0" applyFont="1"/>
    <xf numFmtId="0" fontId="34" fillId="7" borderId="1" xfId="0" applyFont="1" applyFill="1" applyBorder="1" applyAlignment="1" applyProtection="1">
      <alignment vertical="center"/>
      <protection locked="0"/>
    </xf>
    <xf numFmtId="0" fontId="55" fillId="0" borderId="0" xfId="0" applyFont="1" applyAlignment="1">
      <alignment vertical="center"/>
    </xf>
    <xf numFmtId="0" fontId="20" fillId="0" borderId="0" xfId="0" applyFont="1"/>
    <xf numFmtId="0" fontId="38" fillId="0" borderId="26" xfId="0" applyFont="1" applyBorder="1" applyAlignment="1">
      <alignment vertical="top"/>
    </xf>
    <xf numFmtId="0" fontId="60" fillId="0" borderId="0" xfId="0" applyFont="1"/>
    <xf numFmtId="0" fontId="38" fillId="0" borderId="0" xfId="0" applyFont="1" applyAlignment="1">
      <alignment vertical="top"/>
    </xf>
    <xf numFmtId="0" fontId="33" fillId="0" borderId="0" xfId="0" applyFont="1" applyAlignment="1">
      <alignment horizontal="left" vertical="top" wrapText="1"/>
    </xf>
    <xf numFmtId="0" fontId="8" fillId="0" borderId="7" xfId="0" applyFont="1" applyBorder="1" applyAlignment="1" applyProtection="1">
      <alignment horizontal="left" vertical="center"/>
      <protection locked="0"/>
    </xf>
    <xf numFmtId="0" fontId="34" fillId="7" borderId="1" xfId="0" applyFont="1" applyFill="1" applyBorder="1" applyProtection="1">
      <protection locked="0"/>
    </xf>
    <xf numFmtId="0" fontId="33" fillId="0" borderId="0" xfId="0" applyFont="1" applyAlignment="1">
      <alignment horizontal="left" wrapText="1"/>
    </xf>
    <xf numFmtId="0" fontId="66" fillId="0" borderId="0" xfId="0" applyFont="1"/>
    <xf numFmtId="0" fontId="67" fillId="0" borderId="0" xfId="0" applyFont="1" applyAlignment="1">
      <alignment vertical="center"/>
    </xf>
    <xf numFmtId="0" fontId="8" fillId="0" borderId="0" xfId="0" applyFont="1"/>
    <xf numFmtId="0" fontId="9" fillId="0" borderId="0" xfId="0" applyFont="1"/>
    <xf numFmtId="0" fontId="5" fillId="0" borderId="0" xfId="0" applyFont="1" applyAlignment="1">
      <alignment horizontal="right" vertical="center"/>
    </xf>
    <xf numFmtId="0" fontId="8" fillId="2" borderId="1" xfId="0" applyFont="1" applyFill="1" applyBorder="1" applyAlignment="1">
      <alignment horizontal="center" vertical="center"/>
    </xf>
    <xf numFmtId="0" fontId="11" fillId="0" borderId="13" xfId="0" applyFont="1" applyBorder="1" applyAlignment="1">
      <alignment vertical="center"/>
    </xf>
    <xf numFmtId="0" fontId="23" fillId="0" borderId="13" xfId="0" applyFont="1" applyBorder="1" applyAlignment="1">
      <alignment vertical="center"/>
    </xf>
    <xf numFmtId="0" fontId="5" fillId="0" borderId="13" xfId="0" applyFont="1" applyBorder="1" applyAlignment="1">
      <alignment horizontal="right"/>
    </xf>
    <xf numFmtId="0" fontId="1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xf>
    <xf numFmtId="0" fontId="6" fillId="0" borderId="0" xfId="0" applyFont="1" applyAlignment="1">
      <alignment horizontal="left" vertical="center" wrapText="1"/>
    </xf>
    <xf numFmtId="0" fontId="20" fillId="0" borderId="0" xfId="0" applyFont="1" applyAlignment="1">
      <alignment horizontal="left"/>
    </xf>
    <xf numFmtId="0" fontId="8" fillId="0" borderId="0" xfId="0" applyFont="1" applyAlignment="1">
      <alignment horizontal="left"/>
    </xf>
    <xf numFmtId="0" fontId="20" fillId="3" borderId="0" xfId="0" applyFont="1" applyFill="1" applyAlignment="1">
      <alignment horizontal="left"/>
    </xf>
    <xf numFmtId="0" fontId="5" fillId="0" borderId="0" xfId="0" applyFont="1" applyAlignment="1">
      <alignment horizontal="left"/>
    </xf>
    <xf numFmtId="49" fontId="12" fillId="0" borderId="0" xfId="0" applyNumberFormat="1"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22" fillId="0" borderId="0" xfId="0" applyFont="1" applyAlignment="1">
      <alignment horizontal="left" vertical="center"/>
    </xf>
    <xf numFmtId="0" fontId="11" fillId="0" borderId="0" xfId="0" applyFont="1" applyAlignment="1">
      <alignment horizontal="left" vertical="center"/>
    </xf>
    <xf numFmtId="0" fontId="12" fillId="0" borderId="2" xfId="0" applyFont="1" applyBorder="1" applyAlignment="1">
      <alignment horizontal="left" vertical="center"/>
    </xf>
    <xf numFmtId="0" fontId="61" fillId="0" borderId="0" xfId="0" applyFont="1" applyAlignment="1">
      <alignment horizontal="left" vertical="center"/>
    </xf>
    <xf numFmtId="0" fontId="64" fillId="0" borderId="0" xfId="0" applyFont="1" applyAlignment="1">
      <alignment horizontal="justify" vertical="center"/>
    </xf>
    <xf numFmtId="0" fontId="10" fillId="0" borderId="0" xfId="0" applyFont="1" applyAlignment="1">
      <alignment horizontal="right" vertical="center"/>
    </xf>
    <xf numFmtId="0" fontId="12" fillId="0" borderId="0" xfId="0" applyFont="1" applyAlignment="1">
      <alignment horizontal="right" vertical="center"/>
    </xf>
    <xf numFmtId="0" fontId="8" fillId="0" borderId="0" xfId="0" applyFont="1" applyAlignment="1">
      <alignment horizontal="right" vertical="center"/>
    </xf>
    <xf numFmtId="0" fontId="11" fillId="0" borderId="0" xfId="0" applyFont="1" applyAlignment="1">
      <alignment horizontal="right" vertical="center"/>
    </xf>
    <xf numFmtId="0" fontId="5" fillId="0" borderId="0" xfId="0" applyFont="1" applyAlignment="1">
      <alignment horizontal="left" vertical="center"/>
    </xf>
    <xf numFmtId="0" fontId="8" fillId="0" borderId="0" xfId="0" applyFont="1" applyAlignment="1">
      <alignment horizontal="center" vertical="center"/>
    </xf>
    <xf numFmtId="2" fontId="11" fillId="0" borderId="0" xfId="0" applyNumberFormat="1" applyFont="1" applyAlignment="1">
      <alignment vertical="center" wrapText="1"/>
    </xf>
    <xf numFmtId="2" fontId="62" fillId="0" borderId="0" xfId="0" applyNumberFormat="1" applyFont="1" applyAlignment="1">
      <alignment horizontal="right" vertical="center" wrapText="1"/>
    </xf>
    <xf numFmtId="0" fontId="32" fillId="0" borderId="0" xfId="0" applyFont="1"/>
    <xf numFmtId="0" fontId="15" fillId="0" borderId="0" xfId="0" applyFont="1" applyAlignment="1">
      <alignment horizontal="center" vertical="center"/>
    </xf>
    <xf numFmtId="0" fontId="8" fillId="0" borderId="0" xfId="0" applyFont="1" applyAlignment="1">
      <alignment horizontal="left" vertical="top" wrapText="1"/>
    </xf>
    <xf numFmtId="0" fontId="20" fillId="0" borderId="0" xfId="0" applyFont="1" applyAlignment="1">
      <alignment horizontal="left"/>
      <extLst>
        <ext xmlns:xfpb="http://schemas.microsoft.com/office/spreadsheetml/2022/featurepropertybag" uri="{C7286773-470A-42A8-94C5-96B5CB345126}">
          <xfpb:xfComplement i="0"/>
        </ext>
      </extLst>
    </xf>
    <xf numFmtId="0" fontId="15" fillId="0" borderId="0" xfId="0" applyFont="1" applyAlignment="1">
      <alignment horizontal="left" vertical="top" wrapText="1"/>
    </xf>
    <xf numFmtId="49" fontId="8" fillId="0" borderId="0" xfId="0" applyNumberFormat="1" applyFont="1" applyAlignment="1">
      <alignment horizontal="left" vertical="center"/>
    </xf>
    <xf numFmtId="0" fontId="5" fillId="0" borderId="0" xfId="0" applyFont="1" applyAlignment="1">
      <alignment horizontal="center"/>
    </xf>
    <xf numFmtId="0" fontId="11" fillId="0" borderId="0" xfId="0" applyFont="1" applyAlignment="1">
      <alignment horizontal="left" vertical="center" wrapText="1"/>
    </xf>
    <xf numFmtId="49" fontId="8" fillId="0" borderId="0" xfId="0" applyNumberFormat="1" applyFont="1" applyAlignment="1">
      <alignment horizontal="right" vertical="center"/>
    </xf>
    <xf numFmtId="0" fontId="11" fillId="0" borderId="0" xfId="0" applyFont="1"/>
    <xf numFmtId="166" fontId="34" fillId="0" borderId="0" xfId="0" applyNumberFormat="1" applyFont="1" applyAlignment="1">
      <alignment horizontal="left" vertical="center"/>
    </xf>
    <xf numFmtId="0" fontId="11" fillId="0" borderId="0" xfId="0" applyFont="1" applyAlignment="1">
      <alignment horizontal="left"/>
    </xf>
    <xf numFmtId="166" fontId="8" fillId="0" borderId="0" xfId="0" applyNumberFormat="1" applyFont="1" applyAlignment="1">
      <alignment horizontal="center" vertical="center"/>
    </xf>
    <xf numFmtId="0" fontId="22" fillId="0" borderId="0" xfId="0" applyFont="1"/>
    <xf numFmtId="0" fontId="18" fillId="0" borderId="0" xfId="0" applyFont="1"/>
    <xf numFmtId="0" fontId="12" fillId="0" borderId="0" xfId="0" applyFont="1"/>
    <xf numFmtId="0" fontId="12" fillId="0" borderId="7" xfId="0" applyFont="1" applyBorder="1" applyAlignment="1">
      <alignment horizontal="right" vertical="center"/>
    </xf>
    <xf numFmtId="0" fontId="12" fillId="0" borderId="2" xfId="0" applyFont="1" applyBorder="1" applyAlignment="1">
      <alignment horizontal="right" vertical="center"/>
    </xf>
    <xf numFmtId="0" fontId="8" fillId="0" borderId="0" xfId="0" applyFont="1" applyAlignment="1">
      <alignment horizontal="center" vertical="center" wrapText="1"/>
    </xf>
    <xf numFmtId="0" fontId="21" fillId="0" borderId="0" xfId="0" applyFont="1" applyAlignment="1">
      <alignment horizontal="left" vertical="center"/>
    </xf>
    <xf numFmtId="0" fontId="54" fillId="0" borderId="0" xfId="2" applyFont="1" applyFill="1" applyBorder="1" applyAlignment="1" applyProtection="1">
      <alignment horizontal="left" vertical="center"/>
    </xf>
    <xf numFmtId="14" fontId="5" fillId="0" borderId="0" xfId="0" applyNumberFormat="1" applyFont="1" applyAlignment="1">
      <alignment horizontal="right" vertical="center"/>
    </xf>
    <xf numFmtId="0" fontId="12" fillId="0" borderId="0" xfId="0" applyFont="1" applyAlignment="1">
      <alignment horizontal="right"/>
    </xf>
    <xf numFmtId="166" fontId="15" fillId="0" borderId="0" xfId="0" applyNumberFormat="1" applyFont="1" applyAlignment="1">
      <alignment horizontal="center" vertical="center"/>
    </xf>
    <xf numFmtId="0" fontId="13" fillId="0" borderId="0" xfId="0" applyFont="1"/>
    <xf numFmtId="0" fontId="20" fillId="0" borderId="0" xfId="0" applyFont="1" applyAlignment="1">
      <alignment horizontal="left" indent="4"/>
    </xf>
    <xf numFmtId="0" fontId="15" fillId="0" borderId="0" xfId="0" applyFont="1" applyAlignment="1">
      <alignment horizontal="center"/>
    </xf>
    <xf numFmtId="0" fontId="63" fillId="0" borderId="0" xfId="0" applyFont="1"/>
    <xf numFmtId="0" fontId="24" fillId="0" borderId="0" xfId="0" applyFont="1" applyAlignment="1">
      <alignment horizontal="left" vertical="center"/>
    </xf>
    <xf numFmtId="0" fontId="7" fillId="0" borderId="0" xfId="0" applyFont="1" applyAlignment="1">
      <alignment horizontal="center" vertical="center"/>
    </xf>
    <xf numFmtId="0" fontId="10" fillId="2" borderId="0" xfId="0" applyFont="1" applyFill="1" applyAlignment="1">
      <alignment horizontal="left" vertical="center"/>
    </xf>
    <xf numFmtId="0" fontId="12" fillId="0" borderId="0" xfId="0" applyFont="1" applyAlignment="1" applyProtection="1">
      <alignment horizontal="left" vertical="center"/>
      <protection locked="0"/>
      <extLst>
        <ext xmlns:xfpb="http://schemas.microsoft.com/office/spreadsheetml/2022/featurepropertybag" uri="{C7286773-470A-42A8-94C5-96B5CB345126}">
          <xfpb:xfComplement i="0"/>
        </ext>
      </extLst>
    </xf>
    <xf numFmtId="14" fontId="8" fillId="0" borderId="1" xfId="0" applyNumberFormat="1" applyFont="1" applyBorder="1" applyAlignment="1" applyProtection="1">
      <alignment horizontal="center"/>
      <protection locked="0"/>
    </xf>
    <xf numFmtId="0" fontId="20"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vertical="center" wrapText="1"/>
    </xf>
    <xf numFmtId="0" fontId="5" fillId="0" borderId="0" xfId="0" applyFont="1" applyAlignment="1">
      <alignment horizontal="left" wrapText="1"/>
    </xf>
    <xf numFmtId="0" fontId="34"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33" fillId="7" borderId="1" xfId="0" applyFont="1" applyFill="1" applyBorder="1" applyAlignment="1" applyProtection="1">
      <alignment vertical="center"/>
      <protection locked="0"/>
    </xf>
    <xf numFmtId="0" fontId="33" fillId="7" borderId="1" xfId="0" applyFont="1" applyFill="1" applyBorder="1" applyAlignment="1" applyProtection="1">
      <alignment horizontal="left" wrapText="1"/>
      <protection locked="0"/>
    </xf>
    <xf numFmtId="0" fontId="34" fillId="0" borderId="1" xfId="0" applyFont="1" applyBorder="1" applyAlignment="1" applyProtection="1">
      <alignment horizontal="left" vertical="center" wrapText="1"/>
      <protection locked="0"/>
    </xf>
    <xf numFmtId="0" fontId="34" fillId="7" borderId="1" xfId="0" applyFont="1" applyFill="1" applyBorder="1" applyAlignment="1" applyProtection="1">
      <alignment horizontal="left" vertical="center" wrapText="1"/>
      <protection locked="0"/>
    </xf>
    <xf numFmtId="0" fontId="33" fillId="7" borderId="1" xfId="0" applyFont="1" applyFill="1" applyBorder="1" applyAlignment="1" applyProtection="1">
      <alignment horizontal="left"/>
      <protection locked="0"/>
    </xf>
    <xf numFmtId="0" fontId="33" fillId="0" borderId="1" xfId="0" applyFont="1" applyBorder="1" applyAlignment="1" applyProtection="1">
      <alignment horizontal="left" wrapText="1"/>
      <protection locked="0"/>
    </xf>
    <xf numFmtId="0" fontId="7" fillId="0" borderId="0" xfId="0" applyFont="1" applyAlignment="1">
      <alignment horizontal="center"/>
    </xf>
    <xf numFmtId="0" fontId="28" fillId="0" borderId="0" xfId="0" applyFont="1" applyAlignment="1">
      <alignment horizontal="center"/>
    </xf>
    <xf numFmtId="0" fontId="21" fillId="0" borderId="1"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33" fillId="2" borderId="9" xfId="0" applyFont="1" applyFill="1" applyBorder="1" applyAlignment="1">
      <alignment horizontal="left" wrapText="1"/>
    </xf>
    <xf numFmtId="167" fontId="33" fillId="2" borderId="1" xfId="0" applyNumberFormat="1" applyFont="1" applyFill="1" applyBorder="1" applyAlignment="1">
      <alignment horizontal="center"/>
    </xf>
    <xf numFmtId="0" fontId="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33" fillId="2" borderId="1" xfId="0" applyFont="1" applyFill="1" applyBorder="1" applyAlignment="1">
      <alignment horizontal="left" wrapText="1"/>
    </xf>
    <xf numFmtId="0" fontId="21" fillId="0" borderId="0" xfId="0" applyFont="1" applyAlignment="1">
      <alignment horizontal="left" vertical="center" wrapText="1" indent="26"/>
    </xf>
    <xf numFmtId="9" fontId="5" fillId="2" borderId="1" xfId="0" applyNumberFormat="1" applyFont="1" applyFill="1" applyBorder="1" applyAlignment="1">
      <alignment horizontal="center" vertical="center"/>
    </xf>
    <xf numFmtId="167" fontId="33" fillId="3" borderId="1" xfId="0" applyNumberFormat="1" applyFont="1" applyFill="1" applyBorder="1" applyAlignment="1" applyProtection="1">
      <alignment horizontal="center"/>
      <protection locked="0"/>
    </xf>
    <xf numFmtId="9" fontId="33" fillId="3" borderId="1" xfId="1" applyFont="1" applyFill="1" applyBorder="1" applyAlignment="1" applyProtection="1">
      <alignment horizontal="center"/>
      <protection locked="0"/>
    </xf>
    <xf numFmtId="0" fontId="5" fillId="0" borderId="0" xfId="0" applyFont="1" applyAlignment="1">
      <alignment vertical="center"/>
    </xf>
    <xf numFmtId="0" fontId="12" fillId="0" borderId="0" xfId="0" applyFont="1" applyAlignment="1">
      <alignment horizontal="center" vertical="center"/>
    </xf>
    <xf numFmtId="2" fontId="21" fillId="0" borderId="1" xfId="0" applyNumberFormat="1" applyFont="1" applyBorder="1" applyAlignment="1">
      <alignment horizontal="center" vertical="center" wrapText="1"/>
    </xf>
    <xf numFmtId="0" fontId="22" fillId="9" borderId="1" xfId="0" applyFont="1" applyFill="1" applyBorder="1" applyAlignment="1">
      <alignment horizontal="center" vertical="center" wrapText="1"/>
    </xf>
    <xf numFmtId="0" fontId="21" fillId="0" borderId="1" xfId="0" applyFont="1" applyBorder="1" applyAlignment="1">
      <alignment horizontal="center" vertical="center"/>
    </xf>
    <xf numFmtId="0" fontId="11" fillId="8" borderId="11" xfId="0" applyFont="1" applyFill="1" applyBorder="1" applyAlignment="1">
      <alignment horizontal="center"/>
    </xf>
    <xf numFmtId="0" fontId="33" fillId="2" borderId="3" xfId="0" applyFont="1" applyFill="1" applyBorder="1" applyAlignment="1">
      <alignment horizontal="center" wrapText="1"/>
    </xf>
    <xf numFmtId="0" fontId="0" fillId="0" borderId="0" xfId="0" applyAlignment="1">
      <alignment vertical="center"/>
    </xf>
    <xf numFmtId="0" fontId="36"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1" fontId="0" fillId="2" borderId="1" xfId="0" applyNumberFormat="1" applyFill="1" applyBorder="1" applyAlignment="1">
      <alignment horizontal="center" vertical="center"/>
    </xf>
    <xf numFmtId="167" fontId="0" fillId="2" borderId="1" xfId="0" applyNumberFormat="1" applyFill="1" applyBorder="1" applyAlignment="1">
      <alignment horizontal="center" vertical="center"/>
    </xf>
    <xf numFmtId="0" fontId="52" fillId="0" borderId="0" xfId="0" applyFont="1" applyAlignment="1">
      <alignment horizontal="right" vertical="center"/>
    </xf>
    <xf numFmtId="1" fontId="2" fillId="2" borderId="0" xfId="0" applyNumberFormat="1" applyFont="1" applyFill="1" applyAlignment="1">
      <alignment horizontal="center" vertical="center"/>
    </xf>
    <xf numFmtId="167" fontId="2" fillId="2" borderId="0" xfId="0" applyNumberFormat="1" applyFont="1" applyFill="1" applyAlignment="1">
      <alignment horizontal="center" vertical="center"/>
    </xf>
    <xf numFmtId="9" fontId="2" fillId="2" borderId="0" xfId="0" applyNumberFormat="1" applyFont="1" applyFill="1" applyAlignment="1">
      <alignment horizontal="center" vertical="center"/>
    </xf>
    <xf numFmtId="167" fontId="2" fillId="0" borderId="0" xfId="0" applyNumberFormat="1" applyFont="1" applyAlignment="1">
      <alignment horizontal="center" vertical="center"/>
    </xf>
    <xf numFmtId="9" fontId="2" fillId="0" borderId="0" xfId="0" applyNumberFormat="1" applyFont="1" applyAlignment="1">
      <alignment horizontal="center" vertical="center"/>
    </xf>
    <xf numFmtId="1" fontId="4" fillId="0" borderId="0" xfId="0" applyNumberFormat="1" applyFont="1" applyAlignment="1">
      <alignment horizontal="left" vertical="center" wrapText="1"/>
    </xf>
    <xf numFmtId="0" fontId="23" fillId="0" borderId="0" xfId="0" applyFont="1" applyAlignment="1">
      <alignment horizontal="center" vertical="center"/>
    </xf>
    <xf numFmtId="0" fontId="5" fillId="2" borderId="0" xfId="0" applyFont="1" applyFill="1"/>
    <xf numFmtId="0" fontId="5" fillId="2" borderId="1" xfId="0" applyFont="1" applyFill="1" applyBorder="1"/>
    <xf numFmtId="0" fontId="42"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2" fillId="0" borderId="0" xfId="0" applyFont="1" applyAlignment="1">
      <alignment horizontal="center" vertical="center"/>
    </xf>
    <xf numFmtId="2" fontId="38" fillId="0" borderId="0" xfId="0" applyNumberFormat="1" applyFont="1" applyAlignment="1">
      <alignment horizontal="left" vertical="center" wrapText="1"/>
    </xf>
    <xf numFmtId="164" fontId="8" fillId="2" borderId="1" xfId="0" applyNumberFormat="1" applyFont="1" applyFill="1" applyBorder="1" applyAlignment="1">
      <alignment horizontal="center" vertical="center" wrapText="1"/>
    </xf>
    <xf numFmtId="0" fontId="16" fillId="0" borderId="0" xfId="0" applyFont="1" applyAlignment="1">
      <alignment horizontal="right" vertical="center"/>
    </xf>
    <xf numFmtId="2" fontId="11" fillId="0" borderId="0" xfId="0" applyNumberFormat="1" applyFont="1" applyAlignment="1">
      <alignment horizontal="center" vertical="center" wrapText="1"/>
    </xf>
    <xf numFmtId="2" fontId="5" fillId="0" borderId="0" xfId="0" applyNumberFormat="1" applyFont="1" applyAlignment="1">
      <alignment horizontal="left" vertical="center" wrapText="1"/>
    </xf>
    <xf numFmtId="0" fontId="44" fillId="0" borderId="0" xfId="0" applyFont="1" applyAlignment="1">
      <alignment horizontal="center" vertical="center"/>
    </xf>
    <xf numFmtId="0" fontId="5" fillId="2" borderId="1" xfId="0" applyFont="1" applyFill="1" applyBorder="1" applyAlignment="1">
      <alignment horizontal="right" vertical="center"/>
    </xf>
    <xf numFmtId="0" fontId="5" fillId="2" borderId="1" xfId="0" applyFont="1" applyFill="1" applyBorder="1" applyAlignment="1">
      <alignment horizontal="center" vertical="center"/>
    </xf>
    <xf numFmtId="2" fontId="21" fillId="0" borderId="0" xfId="0" applyNumberFormat="1" applyFont="1" applyAlignment="1">
      <alignment horizontal="left" vertical="center" wrapText="1"/>
    </xf>
    <xf numFmtId="0" fontId="42" fillId="0" borderId="0" xfId="0" applyFont="1" applyAlignment="1">
      <alignment horizontal="center" vertical="center" wrapText="1"/>
    </xf>
    <xf numFmtId="2" fontId="40" fillId="0" borderId="0" xfId="0" applyNumberFormat="1" applyFont="1" applyAlignment="1">
      <alignment horizontal="center" vertical="center" wrapText="1"/>
    </xf>
    <xf numFmtId="164" fontId="40" fillId="0" borderId="0" xfId="0" applyNumberFormat="1" applyFont="1" applyAlignment="1">
      <alignment horizontal="center" vertical="center" wrapText="1"/>
    </xf>
    <xf numFmtId="164" fontId="42" fillId="0" borderId="0" xfId="0" applyNumberFormat="1" applyFont="1" applyAlignment="1">
      <alignment horizontal="center" vertical="center" wrapText="1"/>
    </xf>
    <xf numFmtId="164" fontId="8" fillId="4" borderId="1" xfId="0" applyNumberFormat="1" applyFont="1" applyFill="1" applyBorder="1" applyAlignment="1">
      <alignment horizontal="center" vertical="center" wrapText="1"/>
    </xf>
    <xf numFmtId="2" fontId="38" fillId="0" borderId="0" xfId="0" applyNumberFormat="1" applyFont="1" applyAlignment="1">
      <alignment horizontal="left" vertical="top" wrapText="1"/>
    </xf>
    <xf numFmtId="2" fontId="38" fillId="0" borderId="2" xfId="0" applyNumberFormat="1" applyFont="1" applyBorder="1" applyAlignment="1">
      <alignment horizontal="center" vertical="top" wrapText="1"/>
    </xf>
    <xf numFmtId="0" fontId="21" fillId="0" borderId="0" xfId="0" applyFont="1" applyAlignment="1">
      <alignment horizontal="center" vertical="center"/>
    </xf>
    <xf numFmtId="164" fontId="5" fillId="2" borderId="1" xfId="0" applyNumberFormat="1" applyFont="1" applyFill="1" applyBorder="1" applyAlignment="1">
      <alignment horizontal="center" vertical="center"/>
    </xf>
    <xf numFmtId="164" fontId="5" fillId="0" borderId="0" xfId="0" applyNumberFormat="1" applyFont="1" applyAlignment="1">
      <alignment horizontal="center" vertical="center"/>
    </xf>
    <xf numFmtId="0" fontId="35" fillId="0" borderId="0" xfId="0" applyFont="1"/>
    <xf numFmtId="0" fontId="14" fillId="0" borderId="0" xfId="0" applyFont="1" applyAlignment="1">
      <alignment horizontal="center" vertical="center"/>
    </xf>
    <xf numFmtId="0" fontId="21" fillId="0" borderId="0" xfId="0" applyFont="1" applyAlignment="1">
      <alignment horizontal="right" vertical="center"/>
    </xf>
    <xf numFmtId="0" fontId="42" fillId="0" borderId="0" xfId="0" applyFont="1" applyAlignment="1">
      <alignment horizontal="right" vertical="center"/>
    </xf>
    <xf numFmtId="1" fontId="8"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45" fillId="0" borderId="0" xfId="0" applyFont="1" applyAlignment="1">
      <alignment vertical="center" wrapText="1"/>
    </xf>
    <xf numFmtId="0" fontId="67" fillId="0" borderId="0" xfId="0" applyFont="1" applyAlignment="1">
      <alignment horizontal="center" vertical="center"/>
    </xf>
    <xf numFmtId="164" fontId="12" fillId="2" borderId="1" xfId="0" applyNumberFormat="1" applyFont="1" applyFill="1" applyBorder="1" applyAlignment="1">
      <alignment horizontal="center" vertical="center"/>
    </xf>
    <xf numFmtId="0" fontId="8" fillId="0" borderId="0" xfId="0" applyFont="1" applyAlignment="1">
      <alignment vertical="center"/>
    </xf>
    <xf numFmtId="164" fontId="8" fillId="0" borderId="0" xfId="0" applyNumberFormat="1" applyFont="1" applyAlignment="1">
      <alignment horizontal="center" vertical="center"/>
    </xf>
    <xf numFmtId="164" fontId="44" fillId="0" borderId="0" xfId="0" applyNumberFormat="1" applyFont="1" applyAlignment="1">
      <alignment horizontal="center" vertical="center"/>
    </xf>
    <xf numFmtId="0" fontId="71" fillId="0" borderId="0" xfId="0" applyFont="1" applyAlignment="1">
      <alignment horizontal="left" wrapText="1"/>
    </xf>
    <xf numFmtId="0" fontId="18" fillId="0" borderId="0" xfId="0" applyFont="1" applyAlignment="1">
      <alignment horizontal="right" vertical="center" wrapText="1"/>
    </xf>
    <xf numFmtId="0" fontId="44" fillId="0" borderId="0" xfId="0" applyFont="1" applyAlignment="1">
      <alignment vertical="center"/>
    </xf>
    <xf numFmtId="0" fontId="46" fillId="0" borderId="0" xfId="0" applyFont="1" applyAlignment="1">
      <alignment horizontal="right" vertical="center" wrapText="1"/>
    </xf>
    <xf numFmtId="0" fontId="18" fillId="0" borderId="0" xfId="0" applyFont="1" applyAlignment="1">
      <alignment vertical="center"/>
    </xf>
    <xf numFmtId="0" fontId="8" fillId="0" borderId="0" xfId="0" applyFont="1" applyAlignment="1">
      <alignment horizontal="center" vertical="top" wrapText="1"/>
    </xf>
    <xf numFmtId="0" fontId="38" fillId="0" borderId="0" xfId="0" applyFont="1" applyAlignment="1">
      <alignment horizontal="left"/>
    </xf>
    <xf numFmtId="0" fontId="32" fillId="0" borderId="0" xfId="0" applyFont="1" applyAlignment="1">
      <alignment horizontal="left" vertical="center"/>
    </xf>
    <xf numFmtId="0" fontId="72" fillId="0" borderId="0" xfId="0" applyFont="1"/>
    <xf numFmtId="0" fontId="69" fillId="0" borderId="0" xfId="0" applyFont="1" applyAlignment="1">
      <alignment horizontal="center" vertical="center"/>
    </xf>
    <xf numFmtId="0" fontId="67" fillId="0" borderId="0" xfId="0" applyFont="1" applyAlignment="1">
      <alignment horizontal="left" vertical="center"/>
    </xf>
    <xf numFmtId="164" fontId="66" fillId="0" borderId="0" xfId="0" applyNumberFormat="1" applyFont="1" applyAlignment="1">
      <alignment horizontal="center" vertical="center"/>
    </xf>
    <xf numFmtId="164" fontId="5" fillId="0" borderId="0" xfId="0" applyNumberFormat="1" applyFont="1"/>
    <xf numFmtId="0" fontId="15" fillId="0" borderId="0" xfId="0" applyFont="1" applyAlignment="1">
      <alignment vertical="center"/>
    </xf>
    <xf numFmtId="0" fontId="11" fillId="0" borderId="0" xfId="0" applyFont="1" applyAlignment="1">
      <alignment horizontal="center"/>
    </xf>
    <xf numFmtId="167" fontId="31" fillId="2" borderId="1" xfId="0" applyNumberFormat="1" applyFont="1" applyFill="1" applyBorder="1" applyAlignment="1">
      <alignment horizontal="center"/>
    </xf>
    <xf numFmtId="0" fontId="21" fillId="2" borderId="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2" fillId="2" borderId="3" xfId="0" applyFont="1" applyFill="1" applyBorder="1" applyAlignment="1">
      <alignment vertical="center" wrapText="1"/>
    </xf>
    <xf numFmtId="0" fontId="12" fillId="2" borderId="1" xfId="0" applyFont="1" applyFill="1" applyBorder="1" applyAlignment="1">
      <alignment horizontal="center" vertical="center" wrapText="1"/>
    </xf>
    <xf numFmtId="0" fontId="75" fillId="0" borderId="12" xfId="0" applyFont="1" applyBorder="1" applyAlignment="1">
      <alignment horizontal="right" wrapText="1"/>
    </xf>
    <xf numFmtId="0" fontId="8" fillId="0" borderId="2" xfId="0" applyFont="1" applyBorder="1" applyAlignment="1">
      <alignment horizontal="left" vertical="center"/>
    </xf>
    <xf numFmtId="0" fontId="58" fillId="0" borderId="0" xfId="2" applyFont="1" applyFill="1" applyBorder="1" applyAlignment="1" applyProtection="1">
      <alignment horizontal="left" vertical="center"/>
    </xf>
    <xf numFmtId="0" fontId="59" fillId="0" borderId="0" xfId="0" applyFont="1" applyAlignment="1">
      <alignment horizontal="left" vertical="center"/>
    </xf>
    <xf numFmtId="0" fontId="58" fillId="0" borderId="0" xfId="0" applyFont="1" applyAlignment="1">
      <alignment horizontal="left" vertical="center"/>
    </xf>
    <xf numFmtId="0" fontId="19" fillId="0" borderId="0" xfId="2" applyFont="1" applyFill="1" applyBorder="1" applyAlignment="1" applyProtection="1">
      <alignment horizontal="left" vertical="center"/>
    </xf>
    <xf numFmtId="0" fontId="14" fillId="0" borderId="0" xfId="0" applyFont="1" applyAlignment="1">
      <alignment horizontal="left" vertical="center"/>
    </xf>
    <xf numFmtId="0" fontId="5" fillId="0" borderId="5" xfId="0" applyFont="1" applyBorder="1"/>
    <xf numFmtId="0" fontId="5" fillId="0" borderId="3" xfId="0" applyFont="1" applyBorder="1"/>
    <xf numFmtId="0" fontId="5" fillId="0" borderId="4" xfId="0" applyFont="1" applyBorder="1"/>
    <xf numFmtId="0" fontId="5" fillId="0" borderId="6" xfId="0" applyFont="1" applyBorder="1"/>
    <xf numFmtId="0" fontId="5" fillId="0" borderId="11" xfId="0" applyFont="1" applyBorder="1"/>
    <xf numFmtId="0" fontId="5" fillId="0" borderId="18" xfId="0" applyFont="1" applyBorder="1"/>
    <xf numFmtId="0" fontId="5" fillId="0" borderId="10" xfId="0" applyFont="1" applyBorder="1"/>
    <xf numFmtId="0" fontId="33" fillId="0" borderId="0" xfId="0" applyFont="1" applyAlignment="1">
      <alignment horizontal="center" vertical="center"/>
    </xf>
    <xf numFmtId="0" fontId="33" fillId="0" borderId="0" xfId="0" applyFont="1" applyAlignment="1">
      <alignment horizontal="left" vertical="center"/>
    </xf>
    <xf numFmtId="0" fontId="37" fillId="0" borderId="0" xfId="0" applyFont="1" applyAlignment="1">
      <alignment horizontal="left" vertical="top" wrapText="1"/>
    </xf>
    <xf numFmtId="0" fontId="38"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38" fillId="7" borderId="26" xfId="0" applyFont="1" applyFill="1" applyBorder="1" applyAlignment="1" applyProtection="1">
      <alignment horizontal="center" vertical="center"/>
      <protection locked="0"/>
    </xf>
    <xf numFmtId="0" fontId="38" fillId="3" borderId="0" xfId="0" applyFont="1" applyFill="1"/>
    <xf numFmtId="0" fontId="48" fillId="3" borderId="0" xfId="0" applyFont="1" applyFill="1" applyAlignment="1">
      <alignment vertical="center"/>
    </xf>
    <xf numFmtId="0" fontId="37" fillId="3" borderId="0" xfId="0" applyFont="1" applyFill="1" applyAlignment="1">
      <alignment vertical="center"/>
    </xf>
    <xf numFmtId="0" fontId="49" fillId="3" borderId="0" xfId="0" applyFont="1" applyFill="1"/>
    <xf numFmtId="0" fontId="56" fillId="3" borderId="0" xfId="0" applyFont="1" applyFill="1" applyAlignment="1">
      <alignment horizontal="left"/>
    </xf>
    <xf numFmtId="167" fontId="11" fillId="2" borderId="1" xfId="0" applyNumberFormat="1" applyFont="1" applyFill="1" applyBorder="1" applyAlignment="1">
      <alignment horizontal="center" vertical="center"/>
    </xf>
    <xf numFmtId="0" fontId="38" fillId="0" borderId="0" xfId="0" applyFont="1" applyAlignment="1">
      <alignment vertical="center"/>
    </xf>
    <xf numFmtId="0" fontId="35" fillId="3" borderId="0" xfId="0" applyFont="1" applyFill="1"/>
    <xf numFmtId="0" fontId="21" fillId="3" borderId="0" xfId="0" applyFont="1" applyFill="1"/>
    <xf numFmtId="0" fontId="21" fillId="0" borderId="0" xfId="0" applyFont="1" applyAlignment="1">
      <alignment vertical="center"/>
    </xf>
    <xf numFmtId="0" fontId="21" fillId="3" borderId="0" xfId="0" applyFont="1" applyFill="1" applyAlignment="1">
      <alignment vertical="center"/>
    </xf>
    <xf numFmtId="0" fontId="35" fillId="0" borderId="0" xfId="0" applyFont="1" applyAlignment="1">
      <alignment horizontal="left"/>
    </xf>
    <xf numFmtId="0" fontId="35" fillId="3" borderId="0" xfId="0" applyFont="1" applyFill="1" applyAlignment="1">
      <alignment horizontal="left"/>
    </xf>
    <xf numFmtId="0" fontId="21" fillId="3" borderId="0" xfId="0" applyFont="1" applyFill="1" applyAlignment="1">
      <alignment horizontal="left"/>
    </xf>
    <xf numFmtId="0" fontId="21" fillId="0" borderId="0" xfId="0" applyFont="1"/>
    <xf numFmtId="0" fontId="35" fillId="0" borderId="0" xfId="0" applyFont="1" applyAlignment="1">
      <alignment horizontal="left" indent="4"/>
    </xf>
    <xf numFmtId="0" fontId="35" fillId="3" borderId="0" xfId="0" applyFont="1" applyFill="1" applyAlignment="1">
      <alignment horizontal="left" indent="4"/>
    </xf>
    <xf numFmtId="0" fontId="11" fillId="10" borderId="11" xfId="0" applyFont="1" applyFill="1" applyBorder="1"/>
    <xf numFmtId="0" fontId="33" fillId="2" borderId="9" xfId="0" applyFont="1" applyFill="1" applyBorder="1" applyAlignment="1">
      <alignment horizontal="left" vertical="center" wrapText="1"/>
    </xf>
    <xf numFmtId="0" fontId="36" fillId="0" borderId="0" xfId="0" applyFont="1" applyAlignment="1">
      <alignment horizontal="right" wrapText="1"/>
    </xf>
    <xf numFmtId="167" fontId="33" fillId="2" borderId="1" xfId="0" applyNumberFormat="1" applyFont="1" applyFill="1" applyBorder="1" applyAlignment="1">
      <alignment horizontal="center" vertical="center"/>
    </xf>
    <xf numFmtId="167" fontId="77" fillId="2" borderId="1" xfId="0" applyNumberFormat="1" applyFont="1" applyFill="1" applyBorder="1" applyAlignment="1">
      <alignment horizontal="center" vertical="center" wrapText="1"/>
    </xf>
    <xf numFmtId="0" fontId="34" fillId="7" borderId="7" xfId="0"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167" fontId="77" fillId="2" borderId="1" xfId="0" applyNumberFormat="1" applyFont="1" applyFill="1" applyBorder="1" applyAlignment="1">
      <alignment horizontal="center"/>
    </xf>
    <xf numFmtId="0" fontId="77" fillId="2" borderId="9" xfId="0" applyFont="1" applyFill="1" applyBorder="1" applyAlignment="1">
      <alignment horizontal="left" vertical="center" wrapText="1"/>
    </xf>
    <xf numFmtId="167" fontId="11" fillId="2" borderId="5" xfId="0" applyNumberFormat="1" applyFont="1" applyFill="1" applyBorder="1" applyAlignment="1">
      <alignment horizontal="center" vertical="center"/>
    </xf>
    <xf numFmtId="167" fontId="33" fillId="2" borderId="8" xfId="0" applyNumberFormat="1" applyFont="1" applyFill="1" applyBorder="1" applyAlignment="1">
      <alignment horizontal="center"/>
    </xf>
    <xf numFmtId="0" fontId="33" fillId="2" borderId="3" xfId="0" applyFont="1" applyFill="1" applyBorder="1" applyAlignment="1">
      <alignment horizontal="left" vertical="center" wrapText="1"/>
    </xf>
    <xf numFmtId="0" fontId="37" fillId="0" borderId="1" xfId="0" applyFont="1" applyBorder="1" applyAlignment="1" applyProtection="1">
      <alignment horizontal="center" vertical="center"/>
      <protection locked="0"/>
    </xf>
    <xf numFmtId="168" fontId="38" fillId="0" borderId="1" xfId="0" applyNumberFormat="1" applyFont="1" applyBorder="1" applyAlignment="1" applyProtection="1">
      <alignment horizontal="center" vertical="center"/>
      <protection locked="0"/>
    </xf>
    <xf numFmtId="167" fontId="38" fillId="0" borderId="1" xfId="0" applyNumberFormat="1" applyFont="1" applyBorder="1" applyAlignment="1" applyProtection="1">
      <alignment horizontal="center" vertical="center"/>
      <protection locked="0"/>
    </xf>
    <xf numFmtId="164" fontId="5" fillId="2" borderId="27" xfId="0" applyNumberFormat="1" applyFont="1" applyFill="1" applyBorder="1" applyAlignment="1">
      <alignment horizontal="center"/>
    </xf>
    <xf numFmtId="164" fontId="11" fillId="2" borderId="1" xfId="0" applyNumberFormat="1" applyFont="1" applyFill="1" applyBorder="1" applyAlignment="1">
      <alignment horizontal="center" vertical="center"/>
    </xf>
    <xf numFmtId="0" fontId="24" fillId="0" borderId="0" xfId="0" applyFont="1" applyAlignment="1">
      <alignment horizontal="right" vertical="center"/>
    </xf>
    <xf numFmtId="49" fontId="37" fillId="7" borderId="3" xfId="0" applyNumberFormat="1" applyFont="1" applyFill="1" applyBorder="1" applyAlignment="1" applyProtection="1">
      <alignment horizontal="left" vertical="center"/>
      <protection locked="0"/>
    </xf>
    <xf numFmtId="49" fontId="37" fillId="7" borderId="5" xfId="0" applyNumberFormat="1" applyFont="1" applyFill="1" applyBorder="1" applyAlignment="1" applyProtection="1">
      <alignment horizontal="left" vertical="center"/>
      <protection locked="0"/>
    </xf>
    <xf numFmtId="0" fontId="8" fillId="3" borderId="3"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49" fontId="8" fillId="0" borderId="3"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0" fontId="13" fillId="5" borderId="0" xfId="0" applyFont="1" applyFill="1" applyAlignment="1">
      <alignment horizontal="center" vertical="center"/>
    </xf>
    <xf numFmtId="0" fontId="5" fillId="0" borderId="0" xfId="0" applyFont="1" applyAlignment="1">
      <alignment horizontal="right"/>
    </xf>
    <xf numFmtId="0" fontId="5" fillId="0" borderId="2" xfId="0" applyFont="1" applyBorder="1" applyAlignment="1">
      <alignment horizontal="right"/>
    </xf>
    <xf numFmtId="166" fontId="34" fillId="0" borderId="3" xfId="0" applyNumberFormat="1" applyFont="1" applyBorder="1" applyAlignment="1" applyProtection="1">
      <alignment horizontal="left" vertical="center"/>
      <protection locked="0"/>
    </xf>
    <xf numFmtId="166" fontId="34" fillId="0" borderId="4" xfId="0" applyNumberFormat="1" applyFont="1" applyBorder="1" applyAlignment="1" applyProtection="1">
      <alignment horizontal="left" vertical="center"/>
      <protection locked="0"/>
    </xf>
    <xf numFmtId="166" fontId="34" fillId="0" borderId="5" xfId="0" applyNumberFormat="1" applyFont="1" applyBorder="1" applyAlignment="1" applyProtection="1">
      <alignment horizontal="left" vertical="center"/>
      <protection locked="0"/>
    </xf>
    <xf numFmtId="0" fontId="61" fillId="0" borderId="10" xfId="0" applyFont="1" applyBorder="1" applyAlignment="1">
      <alignment horizontal="right" vertical="center"/>
    </xf>
    <xf numFmtId="0" fontId="12" fillId="0" borderId="0" xfId="0" applyFont="1" applyAlignment="1">
      <alignment horizontal="right" vertical="center"/>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26" fillId="0" borderId="0" xfId="0" applyFont="1" applyAlignment="1">
      <alignment horizontal="left" wrapText="1"/>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5" fillId="0" borderId="0" xfId="0" applyFont="1" applyAlignment="1">
      <alignment horizontal="left" vertical="center" indent="4"/>
    </xf>
    <xf numFmtId="0" fontId="5" fillId="0" borderId="0" xfId="0" applyFont="1" applyAlignment="1">
      <alignment horizontal="left" vertical="center"/>
    </xf>
    <xf numFmtId="0" fontId="8" fillId="2" borderId="0" xfId="0" applyFont="1" applyFill="1" applyAlignment="1">
      <alignment horizontal="center" vertical="center" wrapText="1"/>
    </xf>
    <xf numFmtId="0" fontId="8" fillId="2" borderId="0" xfId="0" applyFont="1" applyFill="1" applyAlignment="1">
      <alignment horizontal="left"/>
    </xf>
    <xf numFmtId="0" fontId="5" fillId="0" borderId="11"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1" xfId="2" applyFont="1" applyFill="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8" fillId="0" borderId="5" xfId="2" applyFont="1" applyFill="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0" fontId="37" fillId="7" borderId="1" xfId="0" applyFont="1" applyFill="1" applyBorder="1" applyAlignment="1" applyProtection="1">
      <alignment horizontal="left" vertical="center"/>
      <protection locked="0"/>
    </xf>
    <xf numFmtId="49" fontId="12" fillId="0" borderId="3" xfId="0" applyNumberFormat="1" applyFont="1" applyBorder="1" applyAlignment="1" applyProtection="1">
      <alignment horizontal="left" vertical="center" wrapText="1"/>
      <protection locked="0"/>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0" fontId="34" fillId="7" borderId="3" xfId="0" applyFont="1" applyFill="1" applyBorder="1" applyAlignment="1" applyProtection="1">
      <alignment horizontal="left" vertical="center"/>
      <protection locked="0"/>
    </xf>
    <xf numFmtId="0" fontId="34" fillId="7" borderId="4" xfId="0" applyFont="1" applyFill="1" applyBorder="1" applyAlignment="1" applyProtection="1">
      <alignment horizontal="left" vertical="center"/>
      <protection locked="0"/>
    </xf>
    <xf numFmtId="0" fontId="34" fillId="7" borderId="5" xfId="0" applyFont="1" applyFill="1" applyBorder="1" applyAlignment="1" applyProtection="1">
      <alignment horizontal="left" vertical="center"/>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5" fillId="0" borderId="0" xfId="0" applyFont="1" applyAlignment="1">
      <alignment horizontal="left" wrapText="1"/>
    </xf>
    <xf numFmtId="0" fontId="30" fillId="6" borderId="0" xfId="0" applyFont="1" applyFill="1" applyAlignment="1">
      <alignment horizontal="center"/>
    </xf>
    <xf numFmtId="0" fontId="33" fillId="0" borderId="3" xfId="0" applyFont="1" applyBorder="1" applyAlignment="1" applyProtection="1">
      <alignment vertical="center" wrapText="1"/>
      <protection locked="0"/>
    </xf>
    <xf numFmtId="0" fontId="33" fillId="0" borderId="4"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4" fillId="7" borderId="3" xfId="0" applyFont="1" applyFill="1" applyBorder="1" applyAlignment="1" applyProtection="1">
      <alignment horizontal="left"/>
      <protection locked="0"/>
    </xf>
    <xf numFmtId="0" fontId="34" fillId="7" borderId="5" xfId="0" applyFont="1" applyFill="1" applyBorder="1" applyAlignment="1" applyProtection="1">
      <alignment horizontal="left"/>
      <protection locked="0"/>
    </xf>
    <xf numFmtId="0" fontId="11" fillId="8" borderId="0" xfId="0" applyFont="1" applyFill="1" applyAlignment="1">
      <alignment horizontal="center" vertical="center"/>
    </xf>
    <xf numFmtId="0" fontId="33" fillId="0" borderId="3" xfId="0" applyFont="1" applyBorder="1" applyAlignment="1" applyProtection="1">
      <alignment horizontal="left" wrapText="1"/>
      <protection locked="0"/>
    </xf>
    <xf numFmtId="0" fontId="33" fillId="0" borderId="4" xfId="0" applyFont="1" applyBorder="1" applyAlignment="1" applyProtection="1">
      <alignment horizontal="left" wrapText="1"/>
      <protection locked="0"/>
    </xf>
    <xf numFmtId="0" fontId="33" fillId="0" borderId="5" xfId="0" applyFont="1" applyBorder="1" applyAlignment="1" applyProtection="1">
      <alignment horizontal="left" wrapText="1"/>
      <protection locked="0"/>
    </xf>
    <xf numFmtId="0" fontId="37" fillId="0" borderId="14"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37" fillId="3" borderId="14" xfId="0" applyFont="1" applyFill="1" applyBorder="1" applyAlignment="1" applyProtection="1">
      <alignment horizontal="left" vertical="top" wrapText="1"/>
      <protection locked="0"/>
    </xf>
    <xf numFmtId="0" fontId="37" fillId="3" borderId="15" xfId="0" applyFont="1" applyFill="1" applyBorder="1" applyAlignment="1" applyProtection="1">
      <alignment horizontal="left" vertical="top" wrapText="1"/>
      <protection locked="0"/>
    </xf>
    <xf numFmtId="0" fontId="37" fillId="3" borderId="16" xfId="0" applyFont="1" applyFill="1" applyBorder="1" applyAlignment="1" applyProtection="1">
      <alignment horizontal="left" vertical="top" wrapText="1"/>
      <protection locked="0"/>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8" fillId="0" borderId="0" xfId="0" applyFont="1" applyAlignment="1">
      <alignment horizontal="center" vertical="center" wrapText="1"/>
    </xf>
    <xf numFmtId="0" fontId="21" fillId="0" borderId="1" xfId="0" applyFont="1" applyBorder="1" applyAlignment="1">
      <alignment horizontal="center"/>
    </xf>
    <xf numFmtId="2" fontId="21" fillId="0" borderId="8" xfId="0" applyNumberFormat="1" applyFont="1" applyBorder="1" applyAlignment="1">
      <alignment horizontal="center" vertical="center" wrapText="1"/>
    </xf>
    <xf numFmtId="2" fontId="21" fillId="0" borderId="7" xfId="0" applyNumberFormat="1" applyFont="1" applyBorder="1" applyAlignment="1">
      <alignment horizontal="center" vertical="center" wrapText="1"/>
    </xf>
    <xf numFmtId="2" fontId="22" fillId="9" borderId="1" xfId="0"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4" fillId="0" borderId="3" xfId="0" applyFont="1" applyBorder="1" applyAlignment="1" applyProtection="1">
      <alignment horizontal="left"/>
      <protection locked="0"/>
    </xf>
    <xf numFmtId="0" fontId="34" fillId="0" borderId="4" xfId="0" applyFont="1" applyBorder="1" applyAlignment="1" applyProtection="1">
      <alignment horizontal="left"/>
      <protection locked="0"/>
    </xf>
    <xf numFmtId="0" fontId="34" fillId="0" borderId="5" xfId="0" applyFont="1" applyBorder="1" applyAlignment="1" applyProtection="1">
      <alignment horizontal="left"/>
      <protection locked="0"/>
    </xf>
    <xf numFmtId="2" fontId="21" fillId="0" borderId="9" xfId="0" applyNumberFormat="1" applyFont="1" applyBorder="1" applyAlignment="1">
      <alignment horizontal="center" vertical="center" wrapText="1"/>
    </xf>
    <xf numFmtId="2" fontId="21" fillId="0" borderId="12" xfId="0" applyNumberFormat="1" applyFont="1" applyBorder="1" applyAlignment="1">
      <alignment horizontal="center" vertical="center" wrapText="1"/>
    </xf>
    <xf numFmtId="2" fontId="21" fillId="0" borderId="17"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2" fontId="21" fillId="0" borderId="11" xfId="0" applyNumberFormat="1" applyFont="1" applyBorder="1" applyAlignment="1">
      <alignment horizontal="center" vertical="center" wrapText="1"/>
    </xf>
    <xf numFmtId="2" fontId="21" fillId="0" borderId="18" xfId="0" applyNumberFormat="1" applyFont="1" applyBorder="1" applyAlignment="1">
      <alignment horizontal="center" vertical="center" wrapText="1"/>
    </xf>
    <xf numFmtId="0" fontId="11" fillId="10" borderId="11" xfId="0" applyFont="1" applyFill="1" applyBorder="1"/>
    <xf numFmtId="0" fontId="11" fillId="8" borderId="11" xfId="0" applyFont="1" applyFill="1" applyBorder="1" applyAlignment="1">
      <alignment horizontal="center"/>
    </xf>
    <xf numFmtId="0" fontId="21" fillId="2" borderId="1" xfId="0" applyFont="1" applyFill="1" applyBorder="1" applyAlignment="1">
      <alignment horizontal="center" vertical="center" wrapText="1"/>
    </xf>
    <xf numFmtId="0" fontId="77" fillId="2" borderId="1" xfId="0" applyFont="1" applyFill="1" applyBorder="1" applyAlignment="1">
      <alignment horizontal="left" vertical="center" wrapText="1"/>
    </xf>
    <xf numFmtId="1" fontId="39" fillId="0" borderId="0" xfId="0" applyNumberFormat="1" applyFont="1" applyAlignment="1">
      <alignment horizontal="center" vertical="center" wrapText="1"/>
    </xf>
    <xf numFmtId="0" fontId="8" fillId="0" borderId="14"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21" fillId="2" borderId="8" xfId="0" applyFont="1" applyFill="1" applyBorder="1" applyAlignment="1">
      <alignment horizontal="center" textRotation="90" wrapText="1"/>
    </xf>
    <xf numFmtId="0" fontId="21" fillId="2" borderId="19" xfId="0" applyFont="1" applyFill="1" applyBorder="1" applyAlignment="1">
      <alignment horizontal="center" textRotation="90" wrapText="1"/>
    </xf>
    <xf numFmtId="0" fontId="21" fillId="2" borderId="7" xfId="0" applyFont="1" applyFill="1" applyBorder="1" applyAlignment="1">
      <alignment horizontal="center" textRotation="90" wrapText="1"/>
    </xf>
    <xf numFmtId="0" fontId="5" fillId="0" borderId="0" xfId="0" applyFont="1" applyAlignment="1">
      <alignment horizontal="center" vertical="center" wrapText="1"/>
    </xf>
    <xf numFmtId="0" fontId="11" fillId="0" borderId="0" xfId="0" applyFont="1" applyAlignment="1">
      <alignment horizontal="center"/>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53" fillId="2" borderId="23"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53" fillId="2" borderId="25" xfId="0" applyFont="1" applyFill="1" applyBorder="1" applyAlignment="1">
      <alignment horizontal="center" vertical="center" wrapText="1"/>
    </xf>
    <xf numFmtId="0" fontId="8" fillId="0" borderId="14"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71" fillId="0" borderId="0" xfId="0" applyFont="1" applyAlignment="1">
      <alignment horizontal="left" wrapText="1"/>
    </xf>
    <xf numFmtId="0" fontId="13" fillId="12" borderId="0" xfId="0" applyFont="1" applyFill="1" applyAlignment="1">
      <alignment horizontal="center" vertical="center"/>
    </xf>
    <xf numFmtId="0" fontId="32" fillId="2" borderId="14" xfId="0" applyFont="1" applyFill="1" applyBorder="1" applyAlignment="1">
      <alignment horizontal="center"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43" fillId="0" borderId="21" xfId="0" applyFont="1" applyBorder="1" applyAlignment="1">
      <alignment horizontal="left" wrapText="1"/>
    </xf>
    <xf numFmtId="0" fontId="23" fillId="0" borderId="13" xfId="0" applyFont="1" applyBorder="1" applyAlignment="1">
      <alignment horizontal="center" vertical="center"/>
    </xf>
    <xf numFmtId="2" fontId="34" fillId="0" borderId="3" xfId="0" applyNumberFormat="1" applyFont="1" applyBorder="1" applyAlignment="1" applyProtection="1">
      <alignment horizontal="left" vertical="center" wrapText="1"/>
      <protection locked="0"/>
    </xf>
    <xf numFmtId="2" fontId="34" fillId="0" borderId="4" xfId="0" applyNumberFormat="1" applyFont="1" applyBorder="1" applyAlignment="1" applyProtection="1">
      <alignment horizontal="left" vertical="center" wrapText="1"/>
      <protection locked="0"/>
    </xf>
    <xf numFmtId="2" fontId="34" fillId="0" borderId="5" xfId="0" applyNumberFormat="1" applyFont="1" applyBorder="1" applyAlignment="1" applyProtection="1">
      <alignment horizontal="left" vertical="center" wrapText="1"/>
      <protection locked="0"/>
    </xf>
    <xf numFmtId="0" fontId="21"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2" xfId="0" applyFont="1" applyFill="1" applyBorder="1" applyAlignment="1">
      <alignment horizontal="center" vertical="center" wrapText="1"/>
    </xf>
    <xf numFmtId="2" fontId="38" fillId="0" borderId="0" xfId="0" applyNumberFormat="1" applyFont="1" applyAlignment="1">
      <alignment horizontal="left" vertical="center" wrapText="1"/>
    </xf>
    <xf numFmtId="2" fontId="38" fillId="0" borderId="2" xfId="0" applyNumberFormat="1" applyFont="1" applyBorder="1" applyAlignment="1">
      <alignment horizontal="left" vertical="center" wrapText="1"/>
    </xf>
    <xf numFmtId="0" fontId="34" fillId="0" borderId="3"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21" fillId="0" borderId="0" xfId="0" applyFont="1" applyAlignment="1">
      <alignment horizontal="left" vertical="center"/>
    </xf>
    <xf numFmtId="0" fontId="68"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33" fillId="0" borderId="3"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3"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37" fillId="0" borderId="18" xfId="2" applyFont="1" applyFill="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5" xfId="0" applyFont="1" applyBorder="1" applyAlignment="1" applyProtection="1">
      <alignment horizontal="left" vertical="center"/>
      <protection locked="0"/>
    </xf>
    <xf numFmtId="0" fontId="38" fillId="0" borderId="26" xfId="0" applyFont="1" applyBorder="1" applyAlignment="1">
      <alignment horizontal="left" wrapText="1"/>
    </xf>
    <xf numFmtId="0" fontId="22" fillId="0" borderId="0" xfId="0" applyFont="1" applyAlignment="1">
      <alignment horizontal="left" vertical="center" wrapText="1"/>
    </xf>
    <xf numFmtId="0" fontId="25" fillId="0" borderId="26"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38" fillId="11" borderId="20" xfId="0" applyFont="1" applyFill="1" applyBorder="1" applyAlignment="1">
      <alignment horizontal="center" vertical="top" wrapText="1"/>
    </xf>
    <xf numFmtId="0" fontId="38" fillId="11" borderId="21" xfId="0" applyFont="1" applyFill="1" applyBorder="1" applyAlignment="1">
      <alignment horizontal="center" vertical="top" wrapText="1"/>
    </xf>
    <xf numFmtId="0" fontId="38" fillId="11" borderId="22" xfId="0" applyFont="1" applyFill="1" applyBorder="1" applyAlignment="1">
      <alignment horizontal="center" vertical="top" wrapText="1"/>
    </xf>
    <xf numFmtId="0" fontId="38" fillId="11" borderId="23" xfId="0" applyFont="1" applyFill="1" applyBorder="1" applyAlignment="1">
      <alignment horizontal="center" vertical="top" wrapText="1"/>
    </xf>
    <xf numFmtId="0" fontId="38" fillId="11" borderId="24" xfId="0" applyFont="1" applyFill="1" applyBorder="1" applyAlignment="1">
      <alignment horizontal="center" vertical="top" wrapText="1"/>
    </xf>
    <xf numFmtId="0" fontId="38" fillId="11" borderId="25" xfId="0" applyFont="1" applyFill="1" applyBorder="1" applyAlignment="1">
      <alignment horizontal="center" vertical="top"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38" fillId="0" borderId="26" xfId="0" applyFont="1" applyBorder="1" applyAlignment="1">
      <alignment horizontal="left" vertical="center" wrapText="1"/>
    </xf>
    <xf numFmtId="0" fontId="37" fillId="0" borderId="26" xfId="0" applyFont="1" applyBorder="1" applyAlignment="1">
      <alignment horizontal="left" wrapText="1"/>
    </xf>
    <xf numFmtId="0" fontId="56" fillId="3" borderId="0" xfId="0" applyFont="1" applyFill="1" applyAlignment="1">
      <alignment horizontal="left"/>
    </xf>
    <xf numFmtId="0" fontId="38" fillId="3" borderId="0" xfId="0" applyFont="1" applyFill="1" applyAlignment="1">
      <alignment horizontal="left"/>
    </xf>
    <xf numFmtId="0" fontId="47" fillId="3" borderId="0" xfId="0" applyFont="1" applyFill="1" applyAlignment="1">
      <alignment horizontal="center" vertical="center"/>
    </xf>
    <xf numFmtId="0" fontId="50" fillId="9" borderId="0" xfId="0" applyFont="1" applyFill="1" applyAlignment="1">
      <alignment horizontal="center" vertical="center" wrapText="1"/>
    </xf>
    <xf numFmtId="0" fontId="56" fillId="3"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13">
    <dxf>
      <font>
        <color rgb="FFC00000"/>
      </font>
      <fill>
        <patternFill>
          <bgColor theme="5" tint="0.79998168889431442"/>
        </patternFill>
      </fill>
    </dxf>
    <dxf>
      <font>
        <b/>
        <i val="0"/>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0" tint="-0.14996795556505021"/>
        </patternFill>
      </fill>
    </dxf>
    <dxf>
      <font>
        <color rgb="FF9C0006"/>
      </font>
      <fill>
        <patternFill>
          <bgColor rgb="FFFFC7CE"/>
        </patternFill>
      </fill>
    </dxf>
    <dxf>
      <font>
        <strike val="0"/>
      </font>
      <fill>
        <patternFill>
          <bgColor theme="0" tint="-0.14996795556505021"/>
        </patternFill>
      </fill>
    </dxf>
    <dxf>
      <fill>
        <patternFill>
          <bgColor rgb="FFFF7979"/>
        </patternFill>
      </fill>
    </dxf>
    <dxf>
      <font>
        <b/>
        <i val="0"/>
        <color rgb="FFC00000"/>
      </font>
      <fill>
        <patternFill>
          <bgColor theme="5" tint="0.59996337778862885"/>
        </patternFill>
      </fill>
    </dxf>
    <dxf>
      <font>
        <color theme="0" tint="-0.24994659260841701"/>
      </font>
      <fill>
        <patternFill>
          <bgColor theme="0" tint="-0.24994659260841701"/>
        </patternFill>
      </fill>
    </dxf>
  </dxfs>
  <tableStyles count="0" defaultTableStyle="TableStyleMedium2" defaultPivotStyle="PivotStyleLight16"/>
  <colors>
    <mruColors>
      <color rgb="FF008080"/>
      <color rgb="FF00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488950</xdr:colOff>
      <xdr:row>110</xdr:row>
      <xdr:rowOff>171450</xdr:rowOff>
    </xdr:from>
    <xdr:to>
      <xdr:col>1</xdr:col>
      <xdr:colOff>685800</xdr:colOff>
      <xdr:row>115</xdr:row>
      <xdr:rowOff>0</xdr:rowOff>
    </xdr:to>
    <xdr:sp macro="" textlink="">
      <xdr:nvSpPr>
        <xdr:cNvPr id="6" name="Rectángulo 5">
          <a:extLst>
            <a:ext uri="{FF2B5EF4-FFF2-40B4-BE49-F238E27FC236}">
              <a16:creationId xmlns:a16="http://schemas.microsoft.com/office/drawing/2014/main" id="{F920F888-C021-4910-B6B5-4569C2AE0648}"/>
            </a:ext>
          </a:extLst>
        </xdr:cNvPr>
        <xdr:cNvSpPr/>
      </xdr:nvSpPr>
      <xdr:spPr>
        <a:xfrm>
          <a:off x="488950" y="21857970"/>
          <a:ext cx="2642870" cy="10172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200025</xdr:colOff>
      <xdr:row>110</xdr:row>
      <xdr:rowOff>173355</xdr:rowOff>
    </xdr:from>
    <xdr:to>
      <xdr:col>3</xdr:col>
      <xdr:colOff>800100</xdr:colOff>
      <xdr:row>115</xdr:row>
      <xdr:rowOff>9525</xdr:rowOff>
    </xdr:to>
    <xdr:sp macro="" textlink="">
      <xdr:nvSpPr>
        <xdr:cNvPr id="7" name="Rectángulo 6">
          <a:extLst>
            <a:ext uri="{FF2B5EF4-FFF2-40B4-BE49-F238E27FC236}">
              <a16:creationId xmlns:a16="http://schemas.microsoft.com/office/drawing/2014/main" id="{023928A8-1446-43F4-90DA-F090C9F092BB}"/>
            </a:ext>
          </a:extLst>
        </xdr:cNvPr>
        <xdr:cNvSpPr/>
      </xdr:nvSpPr>
      <xdr:spPr>
        <a:xfrm>
          <a:off x="4444365" y="21859875"/>
          <a:ext cx="2520315" cy="10248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441325</xdr:colOff>
      <xdr:row>122</xdr:row>
      <xdr:rowOff>171450</xdr:rowOff>
    </xdr:from>
    <xdr:to>
      <xdr:col>1</xdr:col>
      <xdr:colOff>638175</xdr:colOff>
      <xdr:row>127</xdr:row>
      <xdr:rowOff>0</xdr:rowOff>
    </xdr:to>
    <xdr:sp macro="" textlink="">
      <xdr:nvSpPr>
        <xdr:cNvPr id="8" name="Rectángulo 7">
          <a:extLst>
            <a:ext uri="{FF2B5EF4-FFF2-40B4-BE49-F238E27FC236}">
              <a16:creationId xmlns:a16="http://schemas.microsoft.com/office/drawing/2014/main" id="{FB0F5808-35FD-484E-852B-36AD8EF8E2E7}"/>
            </a:ext>
          </a:extLst>
        </xdr:cNvPr>
        <xdr:cNvSpPr/>
      </xdr:nvSpPr>
      <xdr:spPr>
        <a:xfrm>
          <a:off x="441325" y="24433530"/>
          <a:ext cx="2642870" cy="10172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129540</xdr:colOff>
      <xdr:row>1</xdr:row>
      <xdr:rowOff>106680</xdr:rowOff>
    </xdr:from>
    <xdr:to>
      <xdr:col>3</xdr:col>
      <xdr:colOff>529590</xdr:colOff>
      <xdr:row>4</xdr:row>
      <xdr:rowOff>51888</xdr:rowOff>
    </xdr:to>
    <xdr:grpSp>
      <xdr:nvGrpSpPr>
        <xdr:cNvPr id="28" name="Grupo 27">
          <a:extLst>
            <a:ext uri="{FF2B5EF4-FFF2-40B4-BE49-F238E27FC236}">
              <a16:creationId xmlns:a16="http://schemas.microsoft.com/office/drawing/2014/main" id="{B4A8CFEA-7A78-42E5-99A5-0B2F147B39B8}"/>
            </a:ext>
          </a:extLst>
        </xdr:cNvPr>
        <xdr:cNvGrpSpPr/>
      </xdr:nvGrpSpPr>
      <xdr:grpSpPr>
        <a:xfrm>
          <a:off x="129540" y="304800"/>
          <a:ext cx="6564630" cy="539568"/>
          <a:chOff x="-460676" y="0"/>
          <a:chExt cx="6614537" cy="544012"/>
        </a:xfrm>
      </xdr:grpSpPr>
      <xdr:grpSp>
        <xdr:nvGrpSpPr>
          <xdr:cNvPr id="29" name="Group 4">
            <a:extLst>
              <a:ext uri="{FF2B5EF4-FFF2-40B4-BE49-F238E27FC236}">
                <a16:creationId xmlns:a16="http://schemas.microsoft.com/office/drawing/2014/main" id="{610B08AA-F4E9-211E-690D-908E2AFE2970}"/>
              </a:ext>
            </a:extLst>
          </xdr:cNvPr>
          <xdr:cNvGrpSpPr>
            <a:grpSpLocks/>
          </xdr:cNvGrpSpPr>
        </xdr:nvGrpSpPr>
        <xdr:grpSpPr>
          <a:xfrm>
            <a:off x="-460676" y="15191"/>
            <a:ext cx="5870876" cy="528821"/>
            <a:chOff x="-470201" y="-45785"/>
            <a:chExt cx="5870876" cy="529655"/>
          </a:xfrm>
        </xdr:grpSpPr>
        <xdr:sp macro="" textlink="">
          <xdr:nvSpPr>
            <xdr:cNvPr id="31" name="Graphic 5">
              <a:extLst>
                <a:ext uri="{FF2B5EF4-FFF2-40B4-BE49-F238E27FC236}">
                  <a16:creationId xmlns:a16="http://schemas.microsoft.com/office/drawing/2014/main" id="{D8CC455C-A7B6-E49F-A485-AAB8327731C4}"/>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32" name="Image 6">
              <a:extLst>
                <a:ext uri="{FF2B5EF4-FFF2-40B4-BE49-F238E27FC236}">
                  <a16:creationId xmlns:a16="http://schemas.microsoft.com/office/drawing/2014/main" id="{90170F9B-A338-ACB4-30E5-34833AC3222C}"/>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33" name="Image 7">
              <a:extLst>
                <a:ext uri="{FF2B5EF4-FFF2-40B4-BE49-F238E27FC236}">
                  <a16:creationId xmlns:a16="http://schemas.microsoft.com/office/drawing/2014/main" id="{5BC65502-1DDB-B35F-91CF-3A4A7D09BC49}"/>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34" name="Image 8">
              <a:extLst>
                <a:ext uri="{FF2B5EF4-FFF2-40B4-BE49-F238E27FC236}">
                  <a16:creationId xmlns:a16="http://schemas.microsoft.com/office/drawing/2014/main" id="{A4F76D7D-237C-73D0-2BD0-C970D6F5D65B}"/>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30" name="Imagen 29" descr="Imagen que contiene Forma&#10;&#10;Descripción generada automáticamente">
            <a:extLst>
              <a:ext uri="{FF2B5EF4-FFF2-40B4-BE49-F238E27FC236}">
                <a16:creationId xmlns:a16="http://schemas.microsoft.com/office/drawing/2014/main" id="{1F908CB0-ACA7-C700-1DE8-893C7C93F8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1021080</xdr:colOff>
      <xdr:row>1</xdr:row>
      <xdr:rowOff>144780</xdr:rowOff>
    </xdr:from>
    <xdr:to>
      <xdr:col>4</xdr:col>
      <xdr:colOff>102870</xdr:colOff>
      <xdr:row>4</xdr:row>
      <xdr:rowOff>89988</xdr:rowOff>
    </xdr:to>
    <xdr:grpSp>
      <xdr:nvGrpSpPr>
        <xdr:cNvPr id="2" name="Grupo 1">
          <a:extLst>
            <a:ext uri="{FF2B5EF4-FFF2-40B4-BE49-F238E27FC236}">
              <a16:creationId xmlns:a16="http://schemas.microsoft.com/office/drawing/2014/main" id="{F5D80462-8D79-452F-8D5D-054E3F1CA42D}"/>
            </a:ext>
          </a:extLst>
        </xdr:cNvPr>
        <xdr:cNvGrpSpPr/>
      </xdr:nvGrpSpPr>
      <xdr:grpSpPr>
        <a:xfrm>
          <a:off x="1021080" y="342900"/>
          <a:ext cx="6564630" cy="539568"/>
          <a:chOff x="-460676" y="0"/>
          <a:chExt cx="6614537" cy="544012"/>
        </a:xfrm>
      </xdr:grpSpPr>
      <xdr:grpSp>
        <xdr:nvGrpSpPr>
          <xdr:cNvPr id="3" name="Group 4">
            <a:extLst>
              <a:ext uri="{FF2B5EF4-FFF2-40B4-BE49-F238E27FC236}">
                <a16:creationId xmlns:a16="http://schemas.microsoft.com/office/drawing/2014/main" id="{2670848B-6901-D036-DF06-25ECB818763D}"/>
              </a:ext>
            </a:extLst>
          </xdr:cNvPr>
          <xdr:cNvGrpSpPr>
            <a:grpSpLocks/>
          </xdr:cNvGrpSpPr>
        </xdr:nvGrpSpPr>
        <xdr:grpSpPr>
          <a:xfrm>
            <a:off x="-460676" y="15191"/>
            <a:ext cx="5870876" cy="528821"/>
            <a:chOff x="-470201" y="-45785"/>
            <a:chExt cx="5870876" cy="529655"/>
          </a:xfrm>
        </xdr:grpSpPr>
        <xdr:sp macro="" textlink="">
          <xdr:nvSpPr>
            <xdr:cNvPr id="5" name="Graphic 5">
              <a:extLst>
                <a:ext uri="{FF2B5EF4-FFF2-40B4-BE49-F238E27FC236}">
                  <a16:creationId xmlns:a16="http://schemas.microsoft.com/office/drawing/2014/main" id="{3BBD80AD-4260-13D3-093F-20E3AF2D05B5}"/>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6" name="Image 6">
              <a:extLst>
                <a:ext uri="{FF2B5EF4-FFF2-40B4-BE49-F238E27FC236}">
                  <a16:creationId xmlns:a16="http://schemas.microsoft.com/office/drawing/2014/main" id="{E76BEA4A-7567-4393-61B6-89AF498EC181}"/>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7" name="Image 7">
              <a:extLst>
                <a:ext uri="{FF2B5EF4-FFF2-40B4-BE49-F238E27FC236}">
                  <a16:creationId xmlns:a16="http://schemas.microsoft.com/office/drawing/2014/main" id="{9DBEC411-0E90-349D-18B7-F770DA8A6C3C}"/>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8" name="Image 8">
              <a:extLst>
                <a:ext uri="{FF2B5EF4-FFF2-40B4-BE49-F238E27FC236}">
                  <a16:creationId xmlns:a16="http://schemas.microsoft.com/office/drawing/2014/main" id="{75A2E370-C5B9-826E-B8C5-8736F3ABF74B}"/>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4" name="Imagen 3" descr="Imagen que contiene Forma&#10;&#10;Descripción generada automáticamente">
            <a:extLst>
              <a:ext uri="{FF2B5EF4-FFF2-40B4-BE49-F238E27FC236}">
                <a16:creationId xmlns:a16="http://schemas.microsoft.com/office/drawing/2014/main" id="{B462D518-DD2A-547B-5D2C-40B5C68095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1379220</xdr:colOff>
      <xdr:row>0</xdr:row>
      <xdr:rowOff>121920</xdr:rowOff>
    </xdr:from>
    <xdr:to>
      <xdr:col>4</xdr:col>
      <xdr:colOff>186690</xdr:colOff>
      <xdr:row>3</xdr:row>
      <xdr:rowOff>67128</xdr:rowOff>
    </xdr:to>
    <xdr:grpSp>
      <xdr:nvGrpSpPr>
        <xdr:cNvPr id="9" name="Grupo 8">
          <a:extLst>
            <a:ext uri="{FF2B5EF4-FFF2-40B4-BE49-F238E27FC236}">
              <a16:creationId xmlns:a16="http://schemas.microsoft.com/office/drawing/2014/main" id="{C4E4E8B4-F016-45E7-9ACA-D79C039DF02F}"/>
            </a:ext>
          </a:extLst>
        </xdr:cNvPr>
        <xdr:cNvGrpSpPr/>
      </xdr:nvGrpSpPr>
      <xdr:grpSpPr>
        <a:xfrm>
          <a:off x="1379220" y="121920"/>
          <a:ext cx="6564630" cy="539568"/>
          <a:chOff x="-460676" y="0"/>
          <a:chExt cx="6614537" cy="544012"/>
        </a:xfrm>
      </xdr:grpSpPr>
      <xdr:grpSp>
        <xdr:nvGrpSpPr>
          <xdr:cNvPr id="10" name="Group 4">
            <a:extLst>
              <a:ext uri="{FF2B5EF4-FFF2-40B4-BE49-F238E27FC236}">
                <a16:creationId xmlns:a16="http://schemas.microsoft.com/office/drawing/2014/main" id="{E3C35C24-4D34-360E-51DF-61AF39FD2AB8}"/>
              </a:ext>
            </a:extLst>
          </xdr:cNvPr>
          <xdr:cNvGrpSpPr>
            <a:grpSpLocks/>
          </xdr:cNvGrpSpPr>
        </xdr:nvGrpSpPr>
        <xdr:grpSpPr>
          <a:xfrm>
            <a:off x="-460676" y="15191"/>
            <a:ext cx="5870876" cy="528821"/>
            <a:chOff x="-470201" y="-45785"/>
            <a:chExt cx="5870876" cy="529655"/>
          </a:xfrm>
        </xdr:grpSpPr>
        <xdr:sp macro="" textlink="">
          <xdr:nvSpPr>
            <xdr:cNvPr id="12" name="Graphic 5">
              <a:extLst>
                <a:ext uri="{FF2B5EF4-FFF2-40B4-BE49-F238E27FC236}">
                  <a16:creationId xmlns:a16="http://schemas.microsoft.com/office/drawing/2014/main" id="{3C9D978F-7411-BAA7-CAF9-BDFCE76BD2EF}"/>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13" name="Image 6">
              <a:extLst>
                <a:ext uri="{FF2B5EF4-FFF2-40B4-BE49-F238E27FC236}">
                  <a16:creationId xmlns:a16="http://schemas.microsoft.com/office/drawing/2014/main" id="{9334E67E-EF67-2F12-0203-AC0D04B27EED}"/>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14" name="Image 7">
              <a:extLst>
                <a:ext uri="{FF2B5EF4-FFF2-40B4-BE49-F238E27FC236}">
                  <a16:creationId xmlns:a16="http://schemas.microsoft.com/office/drawing/2014/main" id="{7E173710-B9BC-BDB7-AFAF-324B179DD602}"/>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15" name="Image 8">
              <a:extLst>
                <a:ext uri="{FF2B5EF4-FFF2-40B4-BE49-F238E27FC236}">
                  <a16:creationId xmlns:a16="http://schemas.microsoft.com/office/drawing/2014/main" id="{35DA7499-6A44-BAC1-C353-9AF859C2401B}"/>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11" name="Imagen 10" descr="Imagen que contiene Forma&#10;&#10;Descripción generada automáticamente">
            <a:extLst>
              <a:ext uri="{FF2B5EF4-FFF2-40B4-BE49-F238E27FC236}">
                <a16:creationId xmlns:a16="http://schemas.microsoft.com/office/drawing/2014/main" id="{5E137037-3DC2-92BA-BB5C-FE9CBBF4FD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xdr:colOff>
      <xdr:row>0</xdr:row>
      <xdr:rowOff>167640</xdr:rowOff>
    </xdr:from>
    <xdr:to>
      <xdr:col>5</xdr:col>
      <xdr:colOff>384810</xdr:colOff>
      <xdr:row>3</xdr:row>
      <xdr:rowOff>112848</xdr:rowOff>
    </xdr:to>
    <xdr:grpSp>
      <xdr:nvGrpSpPr>
        <xdr:cNvPr id="16" name="Grupo 15">
          <a:extLst>
            <a:ext uri="{FF2B5EF4-FFF2-40B4-BE49-F238E27FC236}">
              <a16:creationId xmlns:a16="http://schemas.microsoft.com/office/drawing/2014/main" id="{415924EA-FA69-48F6-8DF5-851DFBBA9C0A}"/>
            </a:ext>
          </a:extLst>
        </xdr:cNvPr>
        <xdr:cNvGrpSpPr/>
      </xdr:nvGrpSpPr>
      <xdr:grpSpPr>
        <a:xfrm>
          <a:off x="403860" y="167640"/>
          <a:ext cx="7311390" cy="539568"/>
          <a:chOff x="-460676" y="0"/>
          <a:chExt cx="6614537" cy="544012"/>
        </a:xfrm>
      </xdr:grpSpPr>
      <xdr:grpSp>
        <xdr:nvGrpSpPr>
          <xdr:cNvPr id="17" name="Group 4">
            <a:extLst>
              <a:ext uri="{FF2B5EF4-FFF2-40B4-BE49-F238E27FC236}">
                <a16:creationId xmlns:a16="http://schemas.microsoft.com/office/drawing/2014/main" id="{AAE6559C-AC81-46B0-4433-FF37667A4C94}"/>
              </a:ext>
            </a:extLst>
          </xdr:cNvPr>
          <xdr:cNvGrpSpPr>
            <a:grpSpLocks/>
          </xdr:cNvGrpSpPr>
        </xdr:nvGrpSpPr>
        <xdr:grpSpPr>
          <a:xfrm>
            <a:off x="-460676" y="15191"/>
            <a:ext cx="5870876" cy="528821"/>
            <a:chOff x="-470201" y="-45785"/>
            <a:chExt cx="5870876" cy="529655"/>
          </a:xfrm>
        </xdr:grpSpPr>
        <xdr:sp macro="" textlink="">
          <xdr:nvSpPr>
            <xdr:cNvPr id="19" name="Graphic 5">
              <a:extLst>
                <a:ext uri="{FF2B5EF4-FFF2-40B4-BE49-F238E27FC236}">
                  <a16:creationId xmlns:a16="http://schemas.microsoft.com/office/drawing/2014/main" id="{B3429630-C36F-E99E-9BAA-E59C1232BBBC}"/>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20" name="Image 6">
              <a:extLst>
                <a:ext uri="{FF2B5EF4-FFF2-40B4-BE49-F238E27FC236}">
                  <a16:creationId xmlns:a16="http://schemas.microsoft.com/office/drawing/2014/main" id="{72FEB9AC-F133-56D6-E494-0CBBA8976E99}"/>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21" name="Image 7">
              <a:extLst>
                <a:ext uri="{FF2B5EF4-FFF2-40B4-BE49-F238E27FC236}">
                  <a16:creationId xmlns:a16="http://schemas.microsoft.com/office/drawing/2014/main" id="{B4CD3FD7-9D1A-7780-1CCD-E653B7D0BB97}"/>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22" name="Image 8">
              <a:extLst>
                <a:ext uri="{FF2B5EF4-FFF2-40B4-BE49-F238E27FC236}">
                  <a16:creationId xmlns:a16="http://schemas.microsoft.com/office/drawing/2014/main" id="{45856D3E-C247-E155-5A75-811AA2CCABF3}"/>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18" name="Imagen 17" descr="Imagen que contiene Forma&#10;&#10;Descripción generada automáticamente">
            <a:extLst>
              <a:ext uri="{FF2B5EF4-FFF2-40B4-BE49-F238E27FC236}">
                <a16:creationId xmlns:a16="http://schemas.microsoft.com/office/drawing/2014/main" id="{FA4B400E-FFD4-B8D3-3DC4-B75AC24B19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175260</xdr:colOff>
      <xdr:row>0</xdr:row>
      <xdr:rowOff>83820</xdr:rowOff>
    </xdr:from>
    <xdr:to>
      <xdr:col>7</xdr:col>
      <xdr:colOff>1040130</xdr:colOff>
      <xdr:row>3</xdr:row>
      <xdr:rowOff>29028</xdr:rowOff>
    </xdr:to>
    <xdr:grpSp>
      <xdr:nvGrpSpPr>
        <xdr:cNvPr id="9" name="Grupo 8">
          <a:extLst>
            <a:ext uri="{FF2B5EF4-FFF2-40B4-BE49-F238E27FC236}">
              <a16:creationId xmlns:a16="http://schemas.microsoft.com/office/drawing/2014/main" id="{92C4EE2C-5C72-4226-9038-726451C4FC62}"/>
            </a:ext>
          </a:extLst>
        </xdr:cNvPr>
        <xdr:cNvGrpSpPr/>
      </xdr:nvGrpSpPr>
      <xdr:grpSpPr>
        <a:xfrm>
          <a:off x="1440180" y="83820"/>
          <a:ext cx="6564630" cy="539568"/>
          <a:chOff x="-460676" y="0"/>
          <a:chExt cx="6614537" cy="544012"/>
        </a:xfrm>
      </xdr:grpSpPr>
      <xdr:grpSp>
        <xdr:nvGrpSpPr>
          <xdr:cNvPr id="10" name="Group 4">
            <a:extLst>
              <a:ext uri="{FF2B5EF4-FFF2-40B4-BE49-F238E27FC236}">
                <a16:creationId xmlns:a16="http://schemas.microsoft.com/office/drawing/2014/main" id="{F9371BAF-3C75-6716-AB30-1A0470267122}"/>
              </a:ext>
            </a:extLst>
          </xdr:cNvPr>
          <xdr:cNvGrpSpPr>
            <a:grpSpLocks/>
          </xdr:cNvGrpSpPr>
        </xdr:nvGrpSpPr>
        <xdr:grpSpPr>
          <a:xfrm>
            <a:off x="-460676" y="15191"/>
            <a:ext cx="5870876" cy="528821"/>
            <a:chOff x="-470201" y="-45785"/>
            <a:chExt cx="5870876" cy="529655"/>
          </a:xfrm>
        </xdr:grpSpPr>
        <xdr:sp macro="" textlink="">
          <xdr:nvSpPr>
            <xdr:cNvPr id="12" name="Graphic 5">
              <a:extLst>
                <a:ext uri="{FF2B5EF4-FFF2-40B4-BE49-F238E27FC236}">
                  <a16:creationId xmlns:a16="http://schemas.microsoft.com/office/drawing/2014/main" id="{8316A9D6-1EB0-FE23-E82C-89D2957A8690}"/>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13" name="Image 6">
              <a:extLst>
                <a:ext uri="{FF2B5EF4-FFF2-40B4-BE49-F238E27FC236}">
                  <a16:creationId xmlns:a16="http://schemas.microsoft.com/office/drawing/2014/main" id="{EEA9CDB0-4397-581F-292A-FE1FA026DF65}"/>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14" name="Image 7">
              <a:extLst>
                <a:ext uri="{FF2B5EF4-FFF2-40B4-BE49-F238E27FC236}">
                  <a16:creationId xmlns:a16="http://schemas.microsoft.com/office/drawing/2014/main" id="{928577B1-299A-021E-BB52-C93D27724758}"/>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15" name="Image 8">
              <a:extLst>
                <a:ext uri="{FF2B5EF4-FFF2-40B4-BE49-F238E27FC236}">
                  <a16:creationId xmlns:a16="http://schemas.microsoft.com/office/drawing/2014/main" id="{2101EAE5-B791-D5DC-C9A2-69433E14D9E9}"/>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11" name="Imagen 10" descr="Imagen que contiene Forma&#10;&#10;Descripción generada automáticamente">
            <a:extLst>
              <a:ext uri="{FF2B5EF4-FFF2-40B4-BE49-F238E27FC236}">
                <a16:creationId xmlns:a16="http://schemas.microsoft.com/office/drawing/2014/main" id="{0DFE258D-6BCD-B9C5-F9E1-07D53ACEDA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508000</xdr:colOff>
      <xdr:row>135</xdr:row>
      <xdr:rowOff>165100</xdr:rowOff>
    </xdr:from>
    <xdr:to>
      <xdr:col>0</xdr:col>
      <xdr:colOff>2781300</xdr:colOff>
      <xdr:row>141</xdr:row>
      <xdr:rowOff>0</xdr:rowOff>
    </xdr:to>
    <xdr:sp macro="" textlink="">
      <xdr:nvSpPr>
        <xdr:cNvPr id="2" name="Rectángulo 1">
          <a:extLst>
            <a:ext uri="{FF2B5EF4-FFF2-40B4-BE49-F238E27FC236}">
              <a16:creationId xmlns:a16="http://schemas.microsoft.com/office/drawing/2014/main" id="{8F792416-6922-48A5-BF4A-8E0406AB2052}"/>
            </a:ext>
          </a:extLst>
        </xdr:cNvPr>
        <xdr:cNvSpPr/>
      </xdr:nvSpPr>
      <xdr:spPr>
        <a:xfrm>
          <a:off x="508000" y="17995900"/>
          <a:ext cx="2273300" cy="9321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517525</xdr:colOff>
      <xdr:row>135</xdr:row>
      <xdr:rowOff>158750</xdr:rowOff>
    </xdr:from>
    <xdr:to>
      <xdr:col>4</xdr:col>
      <xdr:colOff>533400</xdr:colOff>
      <xdr:row>140</xdr:row>
      <xdr:rowOff>177800</xdr:rowOff>
    </xdr:to>
    <xdr:sp macro="" textlink="">
      <xdr:nvSpPr>
        <xdr:cNvPr id="3" name="Rectángulo 2">
          <a:extLst>
            <a:ext uri="{FF2B5EF4-FFF2-40B4-BE49-F238E27FC236}">
              <a16:creationId xmlns:a16="http://schemas.microsoft.com/office/drawing/2014/main" id="{C8FB2FEA-A1FA-4520-B23E-D5A6410E43A1}"/>
            </a:ext>
          </a:extLst>
        </xdr:cNvPr>
        <xdr:cNvSpPr/>
      </xdr:nvSpPr>
      <xdr:spPr>
        <a:xfrm>
          <a:off x="4815205" y="17989550"/>
          <a:ext cx="2279015" cy="9334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845820</xdr:colOff>
      <xdr:row>0</xdr:row>
      <xdr:rowOff>144780</xdr:rowOff>
    </xdr:from>
    <xdr:to>
      <xdr:col>4</xdr:col>
      <xdr:colOff>765810</xdr:colOff>
      <xdr:row>3</xdr:row>
      <xdr:rowOff>89988</xdr:rowOff>
    </xdr:to>
    <xdr:grpSp>
      <xdr:nvGrpSpPr>
        <xdr:cNvPr id="12" name="Grupo 11">
          <a:extLst>
            <a:ext uri="{FF2B5EF4-FFF2-40B4-BE49-F238E27FC236}">
              <a16:creationId xmlns:a16="http://schemas.microsoft.com/office/drawing/2014/main" id="{2771A3DD-A154-4991-8606-8306E49904A0}"/>
            </a:ext>
          </a:extLst>
        </xdr:cNvPr>
        <xdr:cNvGrpSpPr/>
      </xdr:nvGrpSpPr>
      <xdr:grpSpPr>
        <a:xfrm>
          <a:off x="845820" y="144780"/>
          <a:ext cx="6412230" cy="539568"/>
          <a:chOff x="-460676" y="0"/>
          <a:chExt cx="6614537" cy="544012"/>
        </a:xfrm>
      </xdr:grpSpPr>
      <xdr:grpSp>
        <xdr:nvGrpSpPr>
          <xdr:cNvPr id="13" name="Group 4">
            <a:extLst>
              <a:ext uri="{FF2B5EF4-FFF2-40B4-BE49-F238E27FC236}">
                <a16:creationId xmlns:a16="http://schemas.microsoft.com/office/drawing/2014/main" id="{4AB2C5FE-4823-C3F0-9813-E3512CDD8BC4}"/>
              </a:ext>
            </a:extLst>
          </xdr:cNvPr>
          <xdr:cNvGrpSpPr>
            <a:grpSpLocks/>
          </xdr:cNvGrpSpPr>
        </xdr:nvGrpSpPr>
        <xdr:grpSpPr>
          <a:xfrm>
            <a:off x="-460676" y="15191"/>
            <a:ext cx="5870876" cy="528821"/>
            <a:chOff x="-470201" y="-45785"/>
            <a:chExt cx="5870876" cy="529655"/>
          </a:xfrm>
        </xdr:grpSpPr>
        <xdr:sp macro="" textlink="">
          <xdr:nvSpPr>
            <xdr:cNvPr id="15" name="Graphic 5">
              <a:extLst>
                <a:ext uri="{FF2B5EF4-FFF2-40B4-BE49-F238E27FC236}">
                  <a16:creationId xmlns:a16="http://schemas.microsoft.com/office/drawing/2014/main" id="{E8BB0762-D83B-8BBD-7327-922403C4890C}"/>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16" name="Image 6">
              <a:extLst>
                <a:ext uri="{FF2B5EF4-FFF2-40B4-BE49-F238E27FC236}">
                  <a16:creationId xmlns:a16="http://schemas.microsoft.com/office/drawing/2014/main" id="{6D915716-8442-3940-6D54-976BE6B90FA5}"/>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17" name="Image 7">
              <a:extLst>
                <a:ext uri="{FF2B5EF4-FFF2-40B4-BE49-F238E27FC236}">
                  <a16:creationId xmlns:a16="http://schemas.microsoft.com/office/drawing/2014/main" id="{F3225841-9F3A-24DC-03F7-90E0A363E41A}"/>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18" name="Image 8">
              <a:extLst>
                <a:ext uri="{FF2B5EF4-FFF2-40B4-BE49-F238E27FC236}">
                  <a16:creationId xmlns:a16="http://schemas.microsoft.com/office/drawing/2014/main" id="{C1071EA3-C63F-98F8-C148-05AE05A5EB85}"/>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14" name="Imagen 13" descr="Imagen que contiene Forma&#10;&#10;Descripción generada automáticamente">
            <a:extLst>
              <a:ext uri="{FF2B5EF4-FFF2-40B4-BE49-F238E27FC236}">
                <a16:creationId xmlns:a16="http://schemas.microsoft.com/office/drawing/2014/main" id="{3325156E-A0FD-4E01-0C1F-233BB16204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617220</xdr:colOff>
      <xdr:row>0</xdr:row>
      <xdr:rowOff>83820</xdr:rowOff>
    </xdr:from>
    <xdr:to>
      <xdr:col>5</xdr:col>
      <xdr:colOff>1283970</xdr:colOff>
      <xdr:row>3</xdr:row>
      <xdr:rowOff>29028</xdr:rowOff>
    </xdr:to>
    <xdr:grpSp>
      <xdr:nvGrpSpPr>
        <xdr:cNvPr id="2" name="Grupo 1">
          <a:extLst>
            <a:ext uri="{FF2B5EF4-FFF2-40B4-BE49-F238E27FC236}">
              <a16:creationId xmlns:a16="http://schemas.microsoft.com/office/drawing/2014/main" id="{2076D072-24BD-46BB-8F2D-79365A364460}"/>
            </a:ext>
          </a:extLst>
        </xdr:cNvPr>
        <xdr:cNvGrpSpPr/>
      </xdr:nvGrpSpPr>
      <xdr:grpSpPr>
        <a:xfrm>
          <a:off x="617220" y="83820"/>
          <a:ext cx="6564630" cy="539568"/>
          <a:chOff x="-460676" y="0"/>
          <a:chExt cx="6614537" cy="544012"/>
        </a:xfrm>
      </xdr:grpSpPr>
      <xdr:grpSp>
        <xdr:nvGrpSpPr>
          <xdr:cNvPr id="3" name="Group 4">
            <a:extLst>
              <a:ext uri="{FF2B5EF4-FFF2-40B4-BE49-F238E27FC236}">
                <a16:creationId xmlns:a16="http://schemas.microsoft.com/office/drawing/2014/main" id="{5E3B5EC9-E090-D57B-D287-AD5A4E983A5D}"/>
              </a:ext>
            </a:extLst>
          </xdr:cNvPr>
          <xdr:cNvGrpSpPr>
            <a:grpSpLocks/>
          </xdr:cNvGrpSpPr>
        </xdr:nvGrpSpPr>
        <xdr:grpSpPr>
          <a:xfrm>
            <a:off x="-460676" y="15191"/>
            <a:ext cx="5870876" cy="528821"/>
            <a:chOff x="-470201" y="-45785"/>
            <a:chExt cx="5870876" cy="529655"/>
          </a:xfrm>
        </xdr:grpSpPr>
        <xdr:sp macro="" textlink="">
          <xdr:nvSpPr>
            <xdr:cNvPr id="5" name="Graphic 5">
              <a:extLst>
                <a:ext uri="{FF2B5EF4-FFF2-40B4-BE49-F238E27FC236}">
                  <a16:creationId xmlns:a16="http://schemas.microsoft.com/office/drawing/2014/main" id="{B93B1283-3132-30E6-1358-272FE53941AC}"/>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6" name="Image 6">
              <a:extLst>
                <a:ext uri="{FF2B5EF4-FFF2-40B4-BE49-F238E27FC236}">
                  <a16:creationId xmlns:a16="http://schemas.microsoft.com/office/drawing/2014/main" id="{C35F3123-0C08-5347-E797-69F495FDF73B}"/>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7" name="Image 7">
              <a:extLst>
                <a:ext uri="{FF2B5EF4-FFF2-40B4-BE49-F238E27FC236}">
                  <a16:creationId xmlns:a16="http://schemas.microsoft.com/office/drawing/2014/main" id="{CBAA4E0B-5A69-D025-8C57-34F7F38DE57D}"/>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8" name="Image 8">
              <a:extLst>
                <a:ext uri="{FF2B5EF4-FFF2-40B4-BE49-F238E27FC236}">
                  <a16:creationId xmlns:a16="http://schemas.microsoft.com/office/drawing/2014/main" id="{7EF21124-981A-2F08-E4ED-41BB4552BEA5}"/>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4" name="Imagen 3" descr="Imagen que contiene Forma&#10;&#10;Descripción generada automáticamente">
            <a:extLst>
              <a:ext uri="{FF2B5EF4-FFF2-40B4-BE49-F238E27FC236}">
                <a16:creationId xmlns:a16="http://schemas.microsoft.com/office/drawing/2014/main" id="{E5CFDB35-89B6-F5F3-92E9-BA51EAEA74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twoCellAnchor>
    <xdr:from>
      <xdr:col>2</xdr:col>
      <xdr:colOff>525780</xdr:colOff>
      <xdr:row>54</xdr:row>
      <xdr:rowOff>95250</xdr:rowOff>
    </xdr:from>
    <xdr:to>
      <xdr:col>4</xdr:col>
      <xdr:colOff>83820</xdr:colOff>
      <xdr:row>59</xdr:row>
      <xdr:rowOff>45720</xdr:rowOff>
    </xdr:to>
    <xdr:sp macro="" textlink="">
      <xdr:nvSpPr>
        <xdr:cNvPr id="9" name="Rectángulo 8">
          <a:extLst>
            <a:ext uri="{FF2B5EF4-FFF2-40B4-BE49-F238E27FC236}">
              <a16:creationId xmlns:a16="http://schemas.microsoft.com/office/drawing/2014/main" id="{1C805236-6C63-4EA4-9C57-6164A5877313}"/>
            </a:ext>
          </a:extLst>
        </xdr:cNvPr>
        <xdr:cNvSpPr/>
      </xdr:nvSpPr>
      <xdr:spPr>
        <a:xfrm>
          <a:off x="2583180" y="15038070"/>
          <a:ext cx="2110740" cy="9410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518160</xdr:colOff>
      <xdr:row>0</xdr:row>
      <xdr:rowOff>190500</xdr:rowOff>
    </xdr:from>
    <xdr:to>
      <xdr:col>2</xdr:col>
      <xdr:colOff>49530</xdr:colOff>
      <xdr:row>3</xdr:row>
      <xdr:rowOff>135708</xdr:rowOff>
    </xdr:to>
    <xdr:grpSp>
      <xdr:nvGrpSpPr>
        <xdr:cNvPr id="9" name="Grupo 8">
          <a:extLst>
            <a:ext uri="{FF2B5EF4-FFF2-40B4-BE49-F238E27FC236}">
              <a16:creationId xmlns:a16="http://schemas.microsoft.com/office/drawing/2014/main" id="{8DFDC621-013E-4478-AC1B-DC4AB5CB4C23}"/>
            </a:ext>
          </a:extLst>
        </xdr:cNvPr>
        <xdr:cNvGrpSpPr/>
      </xdr:nvGrpSpPr>
      <xdr:grpSpPr>
        <a:xfrm>
          <a:off x="518160" y="190500"/>
          <a:ext cx="6564630" cy="539568"/>
          <a:chOff x="-460676" y="0"/>
          <a:chExt cx="6614537" cy="544012"/>
        </a:xfrm>
      </xdr:grpSpPr>
      <xdr:grpSp>
        <xdr:nvGrpSpPr>
          <xdr:cNvPr id="10" name="Group 4">
            <a:extLst>
              <a:ext uri="{FF2B5EF4-FFF2-40B4-BE49-F238E27FC236}">
                <a16:creationId xmlns:a16="http://schemas.microsoft.com/office/drawing/2014/main" id="{847A1736-61EE-6955-6C36-5C925A795894}"/>
              </a:ext>
            </a:extLst>
          </xdr:cNvPr>
          <xdr:cNvGrpSpPr>
            <a:grpSpLocks/>
          </xdr:cNvGrpSpPr>
        </xdr:nvGrpSpPr>
        <xdr:grpSpPr>
          <a:xfrm>
            <a:off x="-460676" y="15191"/>
            <a:ext cx="5870876" cy="528821"/>
            <a:chOff x="-470201" y="-45785"/>
            <a:chExt cx="5870876" cy="529655"/>
          </a:xfrm>
        </xdr:grpSpPr>
        <xdr:sp macro="" textlink="">
          <xdr:nvSpPr>
            <xdr:cNvPr id="12" name="Graphic 5">
              <a:extLst>
                <a:ext uri="{FF2B5EF4-FFF2-40B4-BE49-F238E27FC236}">
                  <a16:creationId xmlns:a16="http://schemas.microsoft.com/office/drawing/2014/main" id="{58C1FDCC-76F2-BBC5-5817-7BD3D0AABFF8}"/>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13" name="Image 6">
              <a:extLst>
                <a:ext uri="{FF2B5EF4-FFF2-40B4-BE49-F238E27FC236}">
                  <a16:creationId xmlns:a16="http://schemas.microsoft.com/office/drawing/2014/main" id="{E37A0DE9-6857-EB3C-9F91-02BF2551878C}"/>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14" name="Image 7">
              <a:extLst>
                <a:ext uri="{FF2B5EF4-FFF2-40B4-BE49-F238E27FC236}">
                  <a16:creationId xmlns:a16="http://schemas.microsoft.com/office/drawing/2014/main" id="{1648E11F-89D1-4E33-CA62-6BF4B1CDD972}"/>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15" name="Image 8">
              <a:extLst>
                <a:ext uri="{FF2B5EF4-FFF2-40B4-BE49-F238E27FC236}">
                  <a16:creationId xmlns:a16="http://schemas.microsoft.com/office/drawing/2014/main" id="{5B69EB65-E57A-4A33-B47D-DC653884CA6F}"/>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11" name="Imagen 10" descr="Imagen que contiene Forma&#10;&#10;Descripción generada automáticamente">
            <a:extLst>
              <a:ext uri="{FF2B5EF4-FFF2-40B4-BE49-F238E27FC236}">
                <a16:creationId xmlns:a16="http://schemas.microsoft.com/office/drawing/2014/main" id="{7345716E-1063-47CF-D5AA-294EA8C4CC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twoCellAnchor>
    <xdr:from>
      <xdr:col>1</xdr:col>
      <xdr:colOff>207010</xdr:colOff>
      <xdr:row>111</xdr:row>
      <xdr:rowOff>95250</xdr:rowOff>
    </xdr:from>
    <xdr:to>
      <xdr:col>1</xdr:col>
      <xdr:colOff>2400300</xdr:colOff>
      <xdr:row>116</xdr:row>
      <xdr:rowOff>0</xdr:rowOff>
    </xdr:to>
    <xdr:sp macro="" textlink="">
      <xdr:nvSpPr>
        <xdr:cNvPr id="22" name="Rectángulo 21">
          <a:extLst>
            <a:ext uri="{FF2B5EF4-FFF2-40B4-BE49-F238E27FC236}">
              <a16:creationId xmlns:a16="http://schemas.microsoft.com/office/drawing/2014/main" id="{B37A0753-79F2-4DEB-8EE3-E3BDF8E81399}"/>
            </a:ext>
          </a:extLst>
        </xdr:cNvPr>
        <xdr:cNvSpPr/>
      </xdr:nvSpPr>
      <xdr:spPr>
        <a:xfrm>
          <a:off x="1510030" y="27405330"/>
          <a:ext cx="2193290" cy="9410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327660</xdr:colOff>
      <xdr:row>0</xdr:row>
      <xdr:rowOff>45720</xdr:rowOff>
    </xdr:from>
    <xdr:to>
      <xdr:col>8</xdr:col>
      <xdr:colOff>3097530</xdr:colOff>
      <xdr:row>3</xdr:row>
      <xdr:rowOff>59508</xdr:rowOff>
    </xdr:to>
    <xdr:grpSp>
      <xdr:nvGrpSpPr>
        <xdr:cNvPr id="2" name="Grupo 1">
          <a:extLst>
            <a:ext uri="{FF2B5EF4-FFF2-40B4-BE49-F238E27FC236}">
              <a16:creationId xmlns:a16="http://schemas.microsoft.com/office/drawing/2014/main" id="{4170436B-50DC-4946-B5CC-F53B44A745CA}"/>
            </a:ext>
          </a:extLst>
        </xdr:cNvPr>
        <xdr:cNvGrpSpPr/>
      </xdr:nvGrpSpPr>
      <xdr:grpSpPr>
        <a:xfrm>
          <a:off x="1150620" y="45720"/>
          <a:ext cx="6564630" cy="539568"/>
          <a:chOff x="-460676" y="0"/>
          <a:chExt cx="6614537" cy="544012"/>
        </a:xfrm>
      </xdr:grpSpPr>
      <xdr:grpSp>
        <xdr:nvGrpSpPr>
          <xdr:cNvPr id="3" name="Group 4">
            <a:extLst>
              <a:ext uri="{FF2B5EF4-FFF2-40B4-BE49-F238E27FC236}">
                <a16:creationId xmlns:a16="http://schemas.microsoft.com/office/drawing/2014/main" id="{B1215AAA-CF21-3917-A3F1-D6D10AF1A933}"/>
              </a:ext>
            </a:extLst>
          </xdr:cNvPr>
          <xdr:cNvGrpSpPr>
            <a:grpSpLocks/>
          </xdr:cNvGrpSpPr>
        </xdr:nvGrpSpPr>
        <xdr:grpSpPr>
          <a:xfrm>
            <a:off x="-460676" y="15191"/>
            <a:ext cx="5870876" cy="528821"/>
            <a:chOff x="-470201" y="-45785"/>
            <a:chExt cx="5870876" cy="529655"/>
          </a:xfrm>
        </xdr:grpSpPr>
        <xdr:sp macro="" textlink="">
          <xdr:nvSpPr>
            <xdr:cNvPr id="5" name="Graphic 5">
              <a:extLst>
                <a:ext uri="{FF2B5EF4-FFF2-40B4-BE49-F238E27FC236}">
                  <a16:creationId xmlns:a16="http://schemas.microsoft.com/office/drawing/2014/main" id="{3897583B-CF67-EDB0-D48E-5579E2149577}"/>
                </a:ext>
              </a:extLst>
            </xdr:cNvPr>
            <xdr:cNvSpPr/>
          </xdr:nvSpPr>
          <xdr:spPr>
            <a:xfrm>
              <a:off x="0" y="482600"/>
              <a:ext cx="5400675" cy="1270"/>
            </a:xfrm>
            <a:custGeom>
              <a:avLst/>
              <a:gdLst/>
              <a:ahLst/>
              <a:cxnLst/>
              <a:rect l="l" t="t" r="r" b="b"/>
              <a:pathLst>
                <a:path w="5400675">
                  <a:moveTo>
                    <a:pt x="0" y="0"/>
                  </a:moveTo>
                  <a:lnTo>
                    <a:pt x="5400675" y="0"/>
                  </a:lnTo>
                </a:path>
              </a:pathLst>
            </a:custGeom>
            <a:ln w="12700">
              <a:solidFill>
                <a:srgbClr val="D0D7D9"/>
              </a:solidFill>
              <a:prstDash val="solid"/>
            </a:ln>
          </xdr:spPr>
          <xdr:txBody>
            <a:bodyPr wrap="square" lIns="0" tIns="0" rIns="0" bIns="0" rtlCol="0">
              <a:prstTxWarp prst="textNoShape">
                <a:avLst/>
              </a:prstTxWarp>
              <a:noAutofit/>
            </a:bodyPr>
            <a:lstStyle/>
            <a:p>
              <a:endParaRPr lang="en-GB"/>
            </a:p>
          </xdr:txBody>
        </xdr:sp>
        <xdr:pic>
          <xdr:nvPicPr>
            <xdr:cNvPr id="6" name="Image 6">
              <a:extLst>
                <a:ext uri="{FF2B5EF4-FFF2-40B4-BE49-F238E27FC236}">
                  <a16:creationId xmlns:a16="http://schemas.microsoft.com/office/drawing/2014/main" id="{A4B8BA3D-5701-F881-DF13-3C2E6AAB2D67}"/>
                </a:ext>
              </a:extLst>
            </xdr:cNvPr>
            <xdr:cNvPicPr/>
          </xdr:nvPicPr>
          <xdr:blipFill>
            <a:blip xmlns:r="http://schemas.openxmlformats.org/officeDocument/2006/relationships" r:embed="rId1" cstate="print"/>
            <a:stretch>
              <a:fillRect/>
            </a:stretch>
          </xdr:blipFill>
          <xdr:spPr>
            <a:xfrm>
              <a:off x="-470201" y="40828"/>
              <a:ext cx="1440180" cy="317388"/>
            </a:xfrm>
            <a:prstGeom prst="rect">
              <a:avLst/>
            </a:prstGeom>
          </xdr:spPr>
        </xdr:pic>
        <xdr:pic>
          <xdr:nvPicPr>
            <xdr:cNvPr id="7" name="Image 7">
              <a:extLst>
                <a:ext uri="{FF2B5EF4-FFF2-40B4-BE49-F238E27FC236}">
                  <a16:creationId xmlns:a16="http://schemas.microsoft.com/office/drawing/2014/main" id="{EC457914-EC41-D0AA-CC0C-3F240B6A75AA}"/>
                </a:ext>
              </a:extLst>
            </xdr:cNvPr>
            <xdr:cNvPicPr/>
          </xdr:nvPicPr>
          <xdr:blipFill>
            <a:blip xmlns:r="http://schemas.openxmlformats.org/officeDocument/2006/relationships" r:embed="rId2" cstate="print"/>
            <a:stretch>
              <a:fillRect/>
            </a:stretch>
          </xdr:blipFill>
          <xdr:spPr>
            <a:xfrm>
              <a:off x="1480210" y="33132"/>
              <a:ext cx="1626845" cy="317389"/>
            </a:xfrm>
            <a:prstGeom prst="rect">
              <a:avLst/>
            </a:prstGeom>
          </xdr:spPr>
        </xdr:pic>
        <xdr:pic>
          <xdr:nvPicPr>
            <xdr:cNvPr id="8" name="Image 8">
              <a:extLst>
                <a:ext uri="{FF2B5EF4-FFF2-40B4-BE49-F238E27FC236}">
                  <a16:creationId xmlns:a16="http://schemas.microsoft.com/office/drawing/2014/main" id="{BCF0E6C9-555D-EF93-E626-B5DC57498B77}"/>
                </a:ext>
              </a:extLst>
            </xdr:cNvPr>
            <xdr:cNvPicPr/>
          </xdr:nvPicPr>
          <xdr:blipFill>
            <a:blip xmlns:r="http://schemas.openxmlformats.org/officeDocument/2006/relationships" r:embed="rId3" cstate="print"/>
            <a:stretch>
              <a:fillRect/>
            </a:stretch>
          </xdr:blipFill>
          <xdr:spPr>
            <a:xfrm>
              <a:off x="3457871" y="-45785"/>
              <a:ext cx="1015365" cy="396240"/>
            </a:xfrm>
            <a:prstGeom prst="rect">
              <a:avLst/>
            </a:prstGeom>
          </xdr:spPr>
        </xdr:pic>
      </xdr:grpSp>
      <xdr:pic>
        <xdr:nvPicPr>
          <xdr:cNvPr id="4" name="Imagen 3" descr="Imagen que contiene Forma&#10;&#10;Descripción generada automáticamente">
            <a:extLst>
              <a:ext uri="{FF2B5EF4-FFF2-40B4-BE49-F238E27FC236}">
                <a16:creationId xmlns:a16="http://schemas.microsoft.com/office/drawing/2014/main" id="{F5DB9BA1-A91F-CC15-C414-E1A4D3648D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2436" y="0"/>
            <a:ext cx="1241425" cy="496570"/>
          </a:xfrm>
          <a:prstGeom prst="rect">
            <a:avLst/>
          </a:prstGeom>
          <a:noFill/>
        </xdr:spPr>
      </xdr:pic>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BCEB-B284-495A-81E6-2F4140B45B57}">
  <sheetPr codeName="Hoja1">
    <tabColor rgb="FF008080"/>
    <pageSetUpPr fitToPage="1"/>
  </sheetPr>
  <dimension ref="A1:AJ135"/>
  <sheetViews>
    <sheetView showGridLines="0" tabSelected="1" zoomScaleNormal="100" workbookViewId="0">
      <selection activeCell="B12" sqref="B12:E12"/>
    </sheetView>
  </sheetViews>
  <sheetFormatPr baseColWidth="10" defaultRowHeight="15.6" x14ac:dyDescent="0.3"/>
  <cols>
    <col min="1" max="1" width="35.6640625" style="1" customWidth="1"/>
    <col min="2" max="2" width="26.21875" style="1" customWidth="1"/>
    <col min="3" max="3" width="28" style="1" customWidth="1"/>
    <col min="4" max="4" width="16.6640625" style="1" customWidth="1"/>
    <col min="5" max="5" width="16.5546875" style="1" customWidth="1"/>
    <col min="6" max="18" width="5.77734375" style="35" customWidth="1"/>
    <col min="19" max="19" width="5.77734375" style="184" customWidth="1"/>
    <col min="20" max="20" width="5.77734375" style="245" hidden="1" customWidth="1"/>
    <col min="21" max="21" width="12.33203125" style="246" hidden="1" customWidth="1"/>
    <col min="22" max="23" width="11.5546875" style="245" hidden="1" customWidth="1"/>
    <col min="24" max="24" width="11.5546875" style="184" customWidth="1"/>
    <col min="25" max="25" width="11.5546875" style="45"/>
    <col min="26" max="16384" width="11.5546875" style="1"/>
  </cols>
  <sheetData>
    <row r="1" spans="1:25" ht="15.6" customHeight="1" x14ac:dyDescent="0.3"/>
    <row r="2" spans="1:25" ht="15.6" customHeight="1" x14ac:dyDescent="0.3">
      <c r="D2" s="272" t="s">
        <v>1</v>
      </c>
      <c r="E2" s="272"/>
    </row>
    <row r="3" spans="1:25" ht="15.6" customHeight="1" x14ac:dyDescent="0.3">
      <c r="B3" s="46"/>
      <c r="D3" s="47" t="s">
        <v>83</v>
      </c>
      <c r="E3" s="48"/>
    </row>
    <row r="4" spans="1:25" ht="15.6" customHeight="1" x14ac:dyDescent="0.3"/>
    <row r="5" spans="1:25" ht="15.6" customHeight="1" x14ac:dyDescent="0.3"/>
    <row r="6" spans="1:25" ht="15.6" customHeight="1" x14ac:dyDescent="0.3"/>
    <row r="7" spans="1:25" ht="15.6" customHeight="1" thickBot="1" x14ac:dyDescent="0.35">
      <c r="A7" s="49"/>
      <c r="B7" s="50" t="s">
        <v>31</v>
      </c>
      <c r="C7" s="49"/>
      <c r="D7" s="49"/>
      <c r="E7" s="51" t="s">
        <v>754</v>
      </c>
      <c r="F7" s="6"/>
      <c r="G7" s="6"/>
      <c r="H7" s="6"/>
      <c r="I7" s="6"/>
      <c r="J7" s="6"/>
      <c r="K7" s="6"/>
      <c r="L7" s="6"/>
      <c r="M7" s="6"/>
      <c r="N7" s="6"/>
      <c r="O7" s="6"/>
      <c r="P7" s="6"/>
      <c r="Q7" s="6"/>
      <c r="R7" s="6"/>
      <c r="S7" s="247"/>
      <c r="T7" s="248"/>
      <c r="U7" s="248"/>
    </row>
    <row r="8" spans="1:25" ht="15.6" customHeight="1" x14ac:dyDescent="0.3">
      <c r="A8" s="2"/>
      <c r="B8" s="53"/>
      <c r="C8" s="2"/>
      <c r="D8" s="2"/>
      <c r="E8" s="54"/>
      <c r="F8" s="6"/>
      <c r="G8" s="6"/>
      <c r="H8" s="6"/>
      <c r="I8" s="6"/>
      <c r="J8" s="6"/>
      <c r="K8" s="6"/>
      <c r="L8" s="6"/>
      <c r="M8" s="6"/>
      <c r="N8" s="6"/>
      <c r="O8" s="6"/>
      <c r="P8" s="6"/>
      <c r="Q8" s="6"/>
      <c r="R8" s="6"/>
      <c r="S8" s="247"/>
      <c r="T8" s="248"/>
      <c r="U8" s="248"/>
    </row>
    <row r="9" spans="1:25" ht="15.6" customHeight="1" x14ac:dyDescent="0.3">
      <c r="F9" s="6"/>
      <c r="G9" s="6"/>
      <c r="H9" s="6"/>
      <c r="I9" s="6"/>
      <c r="J9" s="6"/>
      <c r="K9" s="6"/>
      <c r="L9" s="6"/>
      <c r="M9" s="6"/>
      <c r="N9" s="6"/>
      <c r="O9" s="6"/>
      <c r="P9" s="6"/>
      <c r="Q9" s="6"/>
      <c r="R9" s="6"/>
      <c r="S9" s="247"/>
      <c r="T9" s="248"/>
      <c r="U9" s="248"/>
    </row>
    <row r="10" spans="1:25" ht="15.6" customHeight="1" x14ac:dyDescent="0.3">
      <c r="A10" s="279" t="s">
        <v>0</v>
      </c>
      <c r="B10" s="279"/>
      <c r="C10" s="279"/>
      <c r="D10" s="279"/>
      <c r="E10" s="279"/>
      <c r="F10" s="6"/>
      <c r="G10" s="6"/>
      <c r="H10" s="6"/>
      <c r="I10" s="6"/>
      <c r="J10" s="6"/>
      <c r="K10" s="6"/>
      <c r="L10" s="6"/>
      <c r="M10" s="6"/>
      <c r="N10" s="6"/>
      <c r="O10" s="6"/>
      <c r="P10" s="6"/>
      <c r="Q10" s="6"/>
      <c r="R10" s="6"/>
      <c r="S10" s="247"/>
      <c r="T10" s="248"/>
    </row>
    <row r="11" spans="1:25" ht="15.6" customHeight="1" x14ac:dyDescent="0.3"/>
    <row r="12" spans="1:25" s="59" customFormat="1" ht="31.2" customHeight="1" x14ac:dyDescent="0.3">
      <c r="A12" s="55" t="s">
        <v>685</v>
      </c>
      <c r="B12" s="309"/>
      <c r="C12" s="310"/>
      <c r="D12" s="310"/>
      <c r="E12" s="311"/>
      <c r="F12" s="56"/>
      <c r="G12" s="56"/>
      <c r="H12" s="56"/>
      <c r="I12" s="56"/>
      <c r="J12" s="56"/>
      <c r="K12" s="56"/>
      <c r="L12" s="56"/>
      <c r="M12" s="56"/>
      <c r="N12" s="56"/>
      <c r="O12" s="56"/>
      <c r="P12" s="56"/>
      <c r="Q12" s="56"/>
      <c r="R12" s="56"/>
      <c r="S12" s="249"/>
      <c r="T12" s="250"/>
      <c r="U12" s="251">
        <f>IF(TítuloMU="",1,0)</f>
        <v>1</v>
      </c>
      <c r="V12" s="250" t="s">
        <v>353</v>
      </c>
      <c r="W12" s="250">
        <f>U12+U15+U16+U18+U43</f>
        <v>5</v>
      </c>
      <c r="X12" s="249"/>
      <c r="Y12" s="57"/>
    </row>
    <row r="13" spans="1:25" s="59" customFormat="1" ht="15.6" customHeight="1" x14ac:dyDescent="0.3">
      <c r="A13" s="55"/>
      <c r="B13" s="60"/>
      <c r="C13" s="60"/>
      <c r="D13" s="60"/>
      <c r="E13" s="60"/>
      <c r="F13" s="56"/>
      <c r="G13" s="56"/>
      <c r="H13" s="56"/>
      <c r="I13" s="56"/>
      <c r="J13" s="56"/>
      <c r="K13" s="56"/>
      <c r="L13" s="56"/>
      <c r="M13" s="56"/>
      <c r="N13" s="56"/>
      <c r="O13" s="56"/>
      <c r="P13" s="56"/>
      <c r="Q13" s="56"/>
      <c r="R13" s="56"/>
      <c r="S13" s="249"/>
      <c r="T13" s="250"/>
      <c r="U13" s="251"/>
      <c r="V13" s="250"/>
      <c r="W13" s="250"/>
      <c r="X13" s="249"/>
      <c r="Y13" s="57"/>
    </row>
    <row r="14" spans="1:25" s="59" customFormat="1" ht="31.2" customHeight="1" x14ac:dyDescent="0.3">
      <c r="A14" s="55" t="s">
        <v>686</v>
      </c>
      <c r="B14" s="309"/>
      <c r="C14" s="310"/>
      <c r="D14" s="310"/>
      <c r="E14" s="311"/>
      <c r="F14" s="56"/>
      <c r="G14" s="56"/>
      <c r="H14" s="56"/>
      <c r="I14" s="56"/>
      <c r="J14" s="56"/>
      <c r="K14" s="56"/>
      <c r="L14" s="56"/>
      <c r="M14" s="56"/>
      <c r="N14" s="56"/>
      <c r="O14" s="56"/>
      <c r="P14" s="56"/>
      <c r="Q14" s="56"/>
      <c r="R14" s="56"/>
      <c r="S14" s="249"/>
      <c r="T14" s="250"/>
      <c r="U14" s="251">
        <f>IF(TítuloMU="",1,0)</f>
        <v>1</v>
      </c>
      <c r="V14" s="250"/>
      <c r="W14" s="250"/>
      <c r="X14" s="249"/>
      <c r="Y14" s="57"/>
    </row>
    <row r="15" spans="1:25" s="59" customFormat="1" ht="15.6" customHeight="1" x14ac:dyDescent="0.3">
      <c r="A15" s="61"/>
      <c r="B15" s="62"/>
      <c r="C15" s="62"/>
      <c r="F15" s="56"/>
      <c r="G15" s="56"/>
      <c r="H15" s="56"/>
      <c r="I15" s="56"/>
      <c r="J15" s="56"/>
      <c r="K15" s="56"/>
      <c r="L15" s="56"/>
      <c r="M15" s="56"/>
      <c r="N15" s="56"/>
      <c r="O15" s="56"/>
      <c r="P15" s="56"/>
      <c r="Q15" s="56"/>
      <c r="R15" s="56"/>
      <c r="S15" s="249"/>
      <c r="T15" s="250"/>
      <c r="U15" s="251">
        <f>IF(Curso="",1,0)</f>
        <v>1</v>
      </c>
      <c r="V15" s="250"/>
      <c r="W15" s="250"/>
      <c r="X15" s="249"/>
      <c r="Y15" s="57"/>
    </row>
    <row r="16" spans="1:25" s="59" customFormat="1" ht="15.6" customHeight="1" x14ac:dyDescent="0.3">
      <c r="A16" s="63" t="s">
        <v>4</v>
      </c>
      <c r="B16" s="30"/>
      <c r="C16" s="64" t="s">
        <v>81</v>
      </c>
      <c r="D16" s="65" t="s">
        <v>5</v>
      </c>
      <c r="E16" s="31"/>
      <c r="F16" s="56"/>
      <c r="G16" s="56"/>
      <c r="H16" s="56"/>
      <c r="I16" s="56"/>
      <c r="J16" s="56"/>
      <c r="K16" s="56"/>
      <c r="L16" s="56"/>
      <c r="M16" s="56"/>
      <c r="N16" s="56"/>
      <c r="O16" s="56"/>
      <c r="P16" s="56"/>
      <c r="Q16" s="56"/>
      <c r="R16" s="56"/>
      <c r="S16" s="249"/>
      <c r="T16" s="250"/>
      <c r="U16" s="251">
        <f>IF(Modalidad="",1,0)</f>
        <v>1</v>
      </c>
      <c r="V16" s="250"/>
      <c r="W16" s="250"/>
      <c r="X16" s="249"/>
      <c r="Y16" s="57"/>
    </row>
    <row r="17" spans="1:25" s="59" customFormat="1" ht="15.6" customHeight="1" x14ac:dyDescent="0.3">
      <c r="A17" s="63"/>
      <c r="B17" s="64"/>
      <c r="C17" s="64"/>
      <c r="F17" s="56"/>
      <c r="G17" s="56"/>
      <c r="H17" s="56"/>
      <c r="I17" s="56"/>
      <c r="J17" s="56"/>
      <c r="K17" s="56"/>
      <c r="L17" s="56"/>
      <c r="M17" s="56"/>
      <c r="N17" s="56"/>
      <c r="O17" s="56"/>
      <c r="P17" s="56"/>
      <c r="Q17" s="56"/>
      <c r="R17" s="56"/>
      <c r="S17" s="249"/>
      <c r="T17" s="250"/>
      <c r="U17" s="251"/>
      <c r="V17" s="250"/>
      <c r="W17" s="250"/>
      <c r="X17" s="249"/>
      <c r="Y17" s="57"/>
    </row>
    <row r="18" spans="1:25" s="59" customFormat="1" ht="15.6" customHeight="1" x14ac:dyDescent="0.3">
      <c r="A18" s="63" t="s">
        <v>6</v>
      </c>
      <c r="B18" s="30"/>
      <c r="C18" s="62"/>
      <c r="D18" s="66" t="s">
        <v>51</v>
      </c>
      <c r="E18" s="10"/>
      <c r="F18" s="56"/>
      <c r="G18" s="56"/>
      <c r="H18" s="56"/>
      <c r="I18" s="56"/>
      <c r="J18" s="56"/>
      <c r="K18" s="56"/>
      <c r="L18" s="56"/>
      <c r="M18" s="56"/>
      <c r="N18" s="56"/>
      <c r="O18" s="56"/>
      <c r="P18" s="56"/>
      <c r="Q18" s="56"/>
      <c r="R18" s="56"/>
      <c r="S18" s="249"/>
      <c r="T18" s="250"/>
      <c r="U18" s="251">
        <f>IF(Idioma="",1,0)</f>
        <v>1</v>
      </c>
      <c r="V18" s="250"/>
      <c r="W18" s="250"/>
      <c r="X18" s="249"/>
      <c r="Y18" s="57"/>
    </row>
    <row r="19" spans="1:25" s="59" customFormat="1" ht="15.6" customHeight="1" x14ac:dyDescent="0.3">
      <c r="A19" s="61"/>
      <c r="B19" s="63"/>
      <c r="C19" s="62"/>
      <c r="F19" s="56"/>
      <c r="G19" s="56"/>
      <c r="H19" s="56"/>
      <c r="I19" s="56"/>
      <c r="J19" s="56"/>
      <c r="K19" s="56"/>
      <c r="L19" s="56"/>
      <c r="M19" s="56"/>
      <c r="N19" s="56"/>
      <c r="O19" s="56"/>
      <c r="P19" s="56"/>
      <c r="Q19" s="56"/>
      <c r="R19" s="56"/>
      <c r="S19" s="249"/>
      <c r="T19" s="250"/>
      <c r="U19" s="251">
        <f>IF(AND(Rama.Artes=FALSE,Rama.CCSS=FALSE,Rama.Ciencias=FALSE,Rama.CSalud=FALSE,Rama.Ing=FALSE),1,0)</f>
        <v>1</v>
      </c>
      <c r="V19" s="250" t="s">
        <v>354</v>
      </c>
      <c r="W19" s="250"/>
      <c r="X19" s="249"/>
      <c r="Y19" s="57"/>
    </row>
    <row r="20" spans="1:25" s="59" customFormat="1" ht="15.6" customHeight="1" x14ac:dyDescent="0.3">
      <c r="A20" s="63" t="s">
        <v>454</v>
      </c>
      <c r="B20" s="61" t="s">
        <v>451</v>
      </c>
      <c r="C20" s="108" t="b">
        <v>0</v>
      </c>
      <c r="D20" s="63" t="s">
        <v>100</v>
      </c>
      <c r="E20" s="10"/>
      <c r="F20" s="56"/>
      <c r="G20" s="56"/>
      <c r="H20" s="56"/>
      <c r="I20" s="56"/>
      <c r="J20" s="56"/>
      <c r="K20" s="56"/>
      <c r="L20" s="56"/>
      <c r="M20" s="56"/>
      <c r="N20" s="56"/>
      <c r="O20" s="56"/>
      <c r="P20" s="56"/>
      <c r="Q20" s="56"/>
      <c r="R20" s="56"/>
      <c r="S20" s="249"/>
      <c r="T20" s="250"/>
      <c r="U20" s="251"/>
      <c r="V20" s="250"/>
      <c r="W20" s="250"/>
      <c r="X20" s="249"/>
      <c r="Y20" s="57"/>
    </row>
    <row r="21" spans="1:25" s="59" customFormat="1" ht="15.6" customHeight="1" x14ac:dyDescent="0.3">
      <c r="A21" s="63"/>
      <c r="B21" s="61" t="s">
        <v>452</v>
      </c>
      <c r="C21" s="108" t="b">
        <v>0</v>
      </c>
      <c r="F21" s="56"/>
      <c r="G21" s="56"/>
      <c r="H21" s="56"/>
      <c r="I21" s="56"/>
      <c r="J21" s="56"/>
      <c r="K21" s="56"/>
      <c r="L21" s="56"/>
      <c r="M21" s="56"/>
      <c r="N21" s="56"/>
      <c r="O21" s="56"/>
      <c r="P21" s="56"/>
      <c r="Q21" s="56"/>
      <c r="R21" s="56"/>
      <c r="S21" s="249"/>
      <c r="T21" s="250"/>
      <c r="U21" s="251"/>
      <c r="V21" s="250"/>
      <c r="W21" s="250"/>
      <c r="X21" s="249"/>
      <c r="Y21" s="57"/>
    </row>
    <row r="22" spans="1:25" s="59" customFormat="1" ht="15.6" customHeight="1" x14ac:dyDescent="0.3">
      <c r="A22" s="63"/>
      <c r="B22" s="61" t="s">
        <v>453</v>
      </c>
      <c r="C22" s="108" t="b">
        <v>0</v>
      </c>
      <c r="D22" s="67" t="s">
        <v>472</v>
      </c>
      <c r="E22" s="10"/>
      <c r="F22" s="56"/>
      <c r="G22" s="56"/>
      <c r="H22" s="56"/>
      <c r="I22" s="56"/>
      <c r="J22" s="56"/>
      <c r="K22" s="56"/>
      <c r="L22" s="56"/>
      <c r="M22" s="56"/>
      <c r="N22" s="56"/>
      <c r="O22" s="56"/>
      <c r="P22" s="56"/>
      <c r="Q22" s="56"/>
      <c r="R22" s="56"/>
      <c r="S22" s="249"/>
      <c r="T22" s="250"/>
      <c r="U22" s="251"/>
      <c r="V22" s="250"/>
      <c r="W22" s="250"/>
      <c r="X22" s="249"/>
      <c r="Y22" s="57"/>
    </row>
    <row r="23" spans="1:25" s="59" customFormat="1" ht="15.6" customHeight="1" x14ac:dyDescent="0.3">
      <c r="A23" s="63"/>
      <c r="B23" s="61" t="s">
        <v>455</v>
      </c>
      <c r="C23" s="108" t="b">
        <v>0</v>
      </c>
      <c r="D23" s="68"/>
      <c r="F23" s="56"/>
      <c r="G23" s="56"/>
      <c r="H23" s="56"/>
      <c r="I23" s="56"/>
      <c r="J23" s="56"/>
      <c r="K23" s="56"/>
      <c r="L23" s="56"/>
      <c r="M23" s="56"/>
      <c r="N23" s="56"/>
      <c r="O23" s="56"/>
      <c r="P23" s="56"/>
      <c r="Q23" s="56"/>
      <c r="R23" s="56"/>
      <c r="S23" s="249"/>
      <c r="T23" s="250"/>
      <c r="U23" s="251"/>
      <c r="V23" s="250"/>
      <c r="W23" s="250"/>
      <c r="X23" s="249"/>
      <c r="Y23" s="57"/>
    </row>
    <row r="24" spans="1:25" s="59" customFormat="1" ht="15.6" customHeight="1" x14ac:dyDescent="0.3">
      <c r="A24" s="63"/>
      <c r="B24" s="61" t="s">
        <v>456</v>
      </c>
      <c r="C24" s="108" t="b">
        <v>0</v>
      </c>
      <c r="D24" s="68"/>
      <c r="F24" s="56"/>
      <c r="G24" s="56"/>
      <c r="H24" s="56"/>
      <c r="I24" s="56"/>
      <c r="J24" s="56"/>
      <c r="K24" s="56"/>
      <c r="L24" s="56"/>
      <c r="M24" s="56"/>
      <c r="N24" s="56"/>
      <c r="O24" s="56"/>
      <c r="P24" s="56"/>
      <c r="Q24" s="56"/>
      <c r="R24" s="56"/>
      <c r="S24" s="249"/>
      <c r="T24" s="250"/>
      <c r="U24" s="251"/>
      <c r="V24" s="250"/>
      <c r="W24" s="250"/>
      <c r="X24" s="249"/>
      <c r="Y24" s="57"/>
    </row>
    <row r="25" spans="1:25" s="59" customFormat="1" ht="15.6" customHeight="1" x14ac:dyDescent="0.3">
      <c r="A25" s="63"/>
      <c r="F25" s="56"/>
      <c r="G25" s="56"/>
      <c r="H25" s="56"/>
      <c r="I25" s="56"/>
      <c r="J25" s="56"/>
      <c r="K25" s="56"/>
      <c r="L25" s="56"/>
      <c r="M25" s="56"/>
      <c r="N25" s="56"/>
      <c r="O25" s="56"/>
      <c r="P25" s="56"/>
      <c r="Q25" s="56"/>
      <c r="R25" s="56"/>
      <c r="S25" s="249"/>
      <c r="T25" s="250"/>
      <c r="U25" s="251"/>
      <c r="V25" s="250"/>
      <c r="W25" s="250"/>
      <c r="X25" s="249"/>
      <c r="Y25" s="57"/>
    </row>
    <row r="26" spans="1:25" s="59" customFormat="1" ht="15.6" customHeight="1" x14ac:dyDescent="0.3">
      <c r="A26" s="63" t="s">
        <v>7</v>
      </c>
      <c r="B26" s="33"/>
      <c r="C26" s="69" t="s">
        <v>444</v>
      </c>
      <c r="D26" s="27"/>
      <c r="F26" s="56"/>
      <c r="G26" s="56"/>
      <c r="H26" s="56"/>
      <c r="I26" s="56"/>
      <c r="J26" s="56"/>
      <c r="K26" s="56"/>
      <c r="L26" s="56"/>
      <c r="M26" s="56"/>
      <c r="N26" s="56"/>
      <c r="O26" s="56"/>
      <c r="P26" s="56"/>
      <c r="Q26" s="56"/>
      <c r="R26" s="56"/>
      <c r="S26" s="249"/>
      <c r="T26" s="250"/>
      <c r="U26" s="251">
        <f>IF(ISCED="Otro, no listado (indicar a la derecha)",IF(D26="",1,0),0)</f>
        <v>0</v>
      </c>
      <c r="V26" s="250"/>
      <c r="W26" s="250"/>
      <c r="X26" s="249"/>
      <c r="Y26" s="57"/>
    </row>
    <row r="27" spans="1:25" s="59" customFormat="1" ht="15.6" customHeight="1" x14ac:dyDescent="0.3">
      <c r="A27" s="63"/>
      <c r="B27" s="70"/>
      <c r="C27" s="71"/>
      <c r="D27" s="61"/>
      <c r="F27" s="56"/>
      <c r="G27" s="56"/>
      <c r="H27" s="56"/>
      <c r="I27" s="56"/>
      <c r="J27" s="56"/>
      <c r="K27" s="56"/>
      <c r="L27" s="56"/>
      <c r="M27" s="56"/>
      <c r="N27" s="56"/>
      <c r="O27" s="56"/>
      <c r="P27" s="56"/>
      <c r="Q27" s="56"/>
      <c r="R27" s="56"/>
      <c r="S27" s="249"/>
      <c r="T27" s="250"/>
      <c r="U27" s="251"/>
      <c r="V27" s="250"/>
      <c r="W27" s="250"/>
      <c r="X27" s="249"/>
      <c r="Y27" s="57"/>
    </row>
    <row r="28" spans="1:25" s="59" customFormat="1" ht="15.6" customHeight="1" x14ac:dyDescent="0.3">
      <c r="A28" s="63" t="s">
        <v>474</v>
      </c>
      <c r="B28" s="315"/>
      <c r="C28" s="316"/>
      <c r="D28" s="317"/>
      <c r="G28" s="56"/>
      <c r="H28" s="56"/>
      <c r="I28" s="56"/>
      <c r="J28" s="56"/>
      <c r="K28" s="56"/>
      <c r="L28" s="56"/>
      <c r="M28" s="56"/>
      <c r="N28" s="56"/>
      <c r="O28" s="56"/>
      <c r="P28" s="56"/>
      <c r="Q28" s="56"/>
      <c r="R28" s="56"/>
      <c r="S28" s="249"/>
      <c r="T28" s="250"/>
      <c r="U28" s="251"/>
      <c r="V28" s="250"/>
      <c r="W28" s="250"/>
      <c r="X28" s="249"/>
      <c r="Y28" s="57"/>
    </row>
    <row r="29" spans="1:25" s="59" customFormat="1" ht="15.6" customHeight="1" x14ac:dyDescent="0.3">
      <c r="A29" s="63"/>
      <c r="F29" s="56"/>
      <c r="G29" s="56"/>
      <c r="H29" s="56"/>
      <c r="I29" s="56"/>
      <c r="J29" s="56"/>
      <c r="K29" s="56"/>
      <c r="L29" s="56"/>
      <c r="M29" s="56"/>
      <c r="N29" s="56"/>
      <c r="O29" s="56"/>
      <c r="P29" s="56"/>
      <c r="Q29" s="56"/>
      <c r="R29" s="56"/>
      <c r="S29" s="249"/>
      <c r="T29" s="250"/>
      <c r="U29" s="251"/>
      <c r="V29" s="250"/>
      <c r="W29" s="250"/>
      <c r="X29" s="249"/>
      <c r="Y29" s="57"/>
    </row>
    <row r="30" spans="1:25" s="59" customFormat="1" ht="15.6" customHeight="1" x14ac:dyDescent="0.3">
      <c r="A30" s="63" t="s">
        <v>32</v>
      </c>
      <c r="B30" s="30"/>
      <c r="F30" s="56"/>
      <c r="G30" s="56"/>
      <c r="H30" s="56"/>
      <c r="I30" s="56"/>
      <c r="J30" s="56"/>
      <c r="K30" s="56"/>
      <c r="L30" s="56"/>
      <c r="M30" s="56"/>
      <c r="N30" s="56"/>
      <c r="O30" s="56"/>
      <c r="P30" s="56"/>
      <c r="Q30" s="56"/>
      <c r="R30" s="56"/>
      <c r="S30" s="249"/>
      <c r="T30" s="250"/>
      <c r="U30" s="251">
        <f>IF(EQF="",1,0)</f>
        <v>1</v>
      </c>
      <c r="V30" s="250" t="s">
        <v>355</v>
      </c>
      <c r="W30" s="250"/>
      <c r="X30" s="249"/>
      <c r="Y30" s="57"/>
    </row>
    <row r="31" spans="1:25" s="59" customFormat="1" ht="15.6" customHeight="1" x14ac:dyDescent="0.3">
      <c r="C31" s="62"/>
      <c r="D31" s="63"/>
      <c r="F31" s="56"/>
      <c r="G31" s="56"/>
      <c r="H31" s="56"/>
      <c r="I31" s="56"/>
      <c r="J31" s="56"/>
      <c r="K31" s="56"/>
      <c r="L31" s="56"/>
      <c r="M31" s="56"/>
      <c r="N31" s="56"/>
      <c r="O31" s="56"/>
      <c r="P31" s="56"/>
      <c r="Q31" s="56"/>
      <c r="R31" s="56"/>
      <c r="S31" s="249"/>
      <c r="T31" s="250"/>
      <c r="U31" s="251">
        <f>IF(Entorno="",1,0)</f>
        <v>1</v>
      </c>
      <c r="V31" s="250" t="s">
        <v>356</v>
      </c>
      <c r="W31" s="250"/>
      <c r="X31" s="249"/>
      <c r="Y31" s="57"/>
    </row>
    <row r="32" spans="1:25" s="59" customFormat="1" ht="15.6" customHeight="1" x14ac:dyDescent="0.3">
      <c r="A32" s="65" t="s">
        <v>8</v>
      </c>
      <c r="B32" s="10"/>
      <c r="C32" s="72" t="s">
        <v>74</v>
      </c>
      <c r="D32" s="48" t="str">
        <f>IF(B32=0,"",B32*25)</f>
        <v/>
      </c>
      <c r="F32" s="56"/>
      <c r="G32" s="56"/>
      <c r="H32" s="56"/>
      <c r="I32" s="56"/>
      <c r="J32" s="56"/>
      <c r="K32" s="56"/>
      <c r="L32" s="56"/>
      <c r="M32" s="56"/>
      <c r="N32" s="56"/>
      <c r="O32" s="56"/>
      <c r="P32" s="56"/>
      <c r="Q32" s="56"/>
      <c r="R32" s="56"/>
      <c r="S32" s="249"/>
      <c r="T32" s="250"/>
      <c r="U32" s="251">
        <f>IF(Créditos="",IF(HorasLectivas="",1,0),0)</f>
        <v>1</v>
      </c>
      <c r="V32" s="250" t="s">
        <v>465</v>
      </c>
      <c r="W32" s="250"/>
      <c r="X32" s="249"/>
      <c r="Y32" s="57"/>
    </row>
    <row r="33" spans="1:25" s="59" customFormat="1" ht="15.6" customHeight="1" x14ac:dyDescent="0.3">
      <c r="A33" s="62"/>
      <c r="B33" s="62"/>
      <c r="C33" s="62"/>
      <c r="D33" s="62"/>
      <c r="F33" s="56"/>
      <c r="G33" s="56"/>
      <c r="H33" s="56"/>
      <c r="I33" s="56"/>
      <c r="J33" s="56"/>
      <c r="K33" s="56"/>
      <c r="L33" s="56"/>
      <c r="M33" s="56"/>
      <c r="N33" s="56"/>
      <c r="O33" s="56"/>
      <c r="P33" s="56"/>
      <c r="Q33" s="56"/>
      <c r="R33" s="56"/>
      <c r="S33" s="249"/>
      <c r="T33" s="250"/>
      <c r="U33" s="251"/>
      <c r="V33" s="250"/>
      <c r="W33" s="250"/>
      <c r="X33" s="249"/>
      <c r="Y33" s="57"/>
    </row>
    <row r="34" spans="1:25" s="59" customFormat="1" ht="15.6" customHeight="1" x14ac:dyDescent="0.3">
      <c r="A34" s="73" t="s">
        <v>443</v>
      </c>
      <c r="B34" s="10"/>
      <c r="C34" s="62"/>
      <c r="D34" s="62"/>
      <c r="F34" s="56"/>
      <c r="G34" s="56"/>
      <c r="H34" s="56"/>
      <c r="I34" s="56"/>
      <c r="J34" s="56"/>
      <c r="K34" s="56"/>
      <c r="L34" s="56"/>
      <c r="M34" s="56"/>
      <c r="N34" s="56"/>
      <c r="O34" s="56"/>
      <c r="P34" s="56"/>
      <c r="Q34" s="56"/>
      <c r="R34" s="56"/>
      <c r="S34" s="249"/>
      <c r="T34" s="250"/>
      <c r="U34" s="251"/>
      <c r="V34" s="250"/>
      <c r="W34" s="250"/>
      <c r="X34" s="249"/>
      <c r="Y34" s="57"/>
    </row>
    <row r="35" spans="1:25" s="59" customFormat="1" ht="15.6" customHeight="1" x14ac:dyDescent="0.3">
      <c r="A35" s="73"/>
      <c r="B35" s="74"/>
      <c r="C35" s="62"/>
      <c r="D35" s="62"/>
      <c r="F35" s="56"/>
      <c r="G35" s="56"/>
      <c r="H35" s="56"/>
      <c r="I35" s="56"/>
      <c r="J35" s="56"/>
      <c r="K35" s="56"/>
      <c r="L35" s="56"/>
      <c r="M35" s="56"/>
      <c r="N35" s="56"/>
      <c r="O35" s="56"/>
      <c r="P35" s="56"/>
      <c r="Q35" s="56"/>
      <c r="R35" s="56"/>
      <c r="S35" s="249"/>
      <c r="T35" s="250"/>
      <c r="U35" s="251"/>
      <c r="V35" s="250"/>
      <c r="W35" s="250"/>
      <c r="X35" s="249"/>
      <c r="Y35" s="57"/>
    </row>
    <row r="36" spans="1:25" s="59" customFormat="1" ht="15.6" customHeight="1" x14ac:dyDescent="0.3">
      <c r="A36" s="75" t="s">
        <v>46</v>
      </c>
      <c r="B36" s="23"/>
      <c r="C36" s="76" t="s">
        <v>473</v>
      </c>
      <c r="D36" s="10"/>
      <c r="E36" s="1"/>
      <c r="F36" s="56"/>
      <c r="G36" s="56"/>
      <c r="H36" s="56"/>
      <c r="I36" s="56"/>
      <c r="J36" s="56"/>
      <c r="K36" s="56"/>
      <c r="L36" s="56"/>
      <c r="M36" s="56"/>
      <c r="N36" s="56"/>
      <c r="O36" s="56"/>
      <c r="P36" s="56"/>
      <c r="Q36" s="56"/>
      <c r="R36" s="56"/>
      <c r="S36" s="249"/>
      <c r="T36" s="250"/>
      <c r="U36" s="251"/>
      <c r="V36" s="250"/>
      <c r="W36" s="250"/>
      <c r="X36" s="249"/>
      <c r="Y36" s="57"/>
    </row>
    <row r="37" spans="1:25" s="59" customFormat="1" ht="15.6" customHeight="1" x14ac:dyDescent="0.3">
      <c r="A37" s="62"/>
      <c r="B37" s="62"/>
      <c r="C37" s="62"/>
      <c r="D37" s="62"/>
      <c r="F37" s="56"/>
      <c r="G37" s="56"/>
      <c r="H37" s="56"/>
      <c r="I37" s="56"/>
      <c r="J37" s="56"/>
      <c r="K37" s="56"/>
      <c r="L37" s="56"/>
      <c r="M37" s="56"/>
      <c r="N37" s="56"/>
      <c r="O37" s="56"/>
      <c r="P37" s="56"/>
      <c r="Q37" s="56"/>
      <c r="R37" s="56"/>
      <c r="S37" s="249"/>
      <c r="T37" s="250"/>
      <c r="U37" s="251"/>
      <c r="V37" s="250"/>
      <c r="W37" s="250"/>
      <c r="X37" s="249"/>
      <c r="Y37" s="57"/>
    </row>
    <row r="38" spans="1:25" s="59" customFormat="1" ht="15.6" customHeight="1" x14ac:dyDescent="0.3">
      <c r="A38" s="75" t="s">
        <v>45</v>
      </c>
      <c r="B38" s="10"/>
      <c r="C38" s="77"/>
      <c r="D38" s="78"/>
      <c r="E38" s="45"/>
      <c r="F38" s="56"/>
      <c r="G38" s="56"/>
      <c r="H38" s="56"/>
      <c r="I38" s="56"/>
      <c r="J38" s="56"/>
      <c r="K38" s="56"/>
      <c r="L38" s="56"/>
      <c r="M38" s="56"/>
      <c r="N38" s="56"/>
      <c r="O38" s="56"/>
      <c r="P38" s="56"/>
      <c r="Q38" s="56"/>
      <c r="R38" s="56"/>
      <c r="S38" s="249"/>
      <c r="T38" s="250"/>
      <c r="U38" s="251"/>
      <c r="V38" s="250"/>
      <c r="W38" s="250"/>
      <c r="X38" s="249"/>
      <c r="Y38" s="57"/>
    </row>
    <row r="39" spans="1:25" s="59" customFormat="1" ht="15.6" customHeight="1" x14ac:dyDescent="0.3">
      <c r="A39" s="75"/>
      <c r="B39" s="74"/>
      <c r="C39" s="77"/>
      <c r="D39" s="78"/>
      <c r="E39" s="45"/>
      <c r="F39" s="56"/>
      <c r="G39" s="56"/>
      <c r="H39" s="56"/>
      <c r="I39" s="56"/>
      <c r="J39" s="56"/>
      <c r="K39" s="56"/>
      <c r="L39" s="56"/>
      <c r="M39" s="56"/>
      <c r="N39" s="56"/>
      <c r="O39" s="56"/>
      <c r="P39" s="56"/>
      <c r="Q39" s="56"/>
      <c r="R39" s="56"/>
      <c r="S39" s="249"/>
      <c r="T39" s="250"/>
      <c r="U39" s="251"/>
      <c r="V39" s="250"/>
      <c r="W39" s="250"/>
      <c r="X39" s="249"/>
      <c r="Y39" s="57"/>
    </row>
    <row r="40" spans="1:25" ht="15.6" customHeight="1" x14ac:dyDescent="0.3">
      <c r="A40" s="65" t="s">
        <v>677</v>
      </c>
      <c r="B40" s="22"/>
      <c r="C40" s="77"/>
      <c r="D40" s="78"/>
      <c r="E40" s="45"/>
    </row>
    <row r="41" spans="1:25" s="59" customFormat="1" ht="15.6" customHeight="1" x14ac:dyDescent="0.3">
      <c r="A41" s="62"/>
      <c r="B41" s="62"/>
      <c r="C41" s="62"/>
      <c r="D41" s="78"/>
      <c r="F41" s="56"/>
      <c r="G41" s="56"/>
      <c r="H41" s="56"/>
      <c r="I41" s="56"/>
      <c r="J41" s="56"/>
      <c r="K41" s="56"/>
      <c r="L41" s="56"/>
      <c r="M41" s="56"/>
      <c r="N41" s="56"/>
      <c r="O41" s="56"/>
      <c r="P41" s="56"/>
      <c r="Q41" s="56"/>
      <c r="R41" s="56"/>
      <c r="S41" s="249"/>
      <c r="T41" s="250"/>
      <c r="U41" s="251"/>
      <c r="V41" s="250"/>
      <c r="W41" s="250"/>
      <c r="X41" s="249"/>
      <c r="Y41" s="57"/>
    </row>
    <row r="42" spans="1:25" s="59" customFormat="1" ht="15.6" customHeight="1" x14ac:dyDescent="0.3">
      <c r="A42" s="301" t="s">
        <v>432</v>
      </c>
      <c r="B42" s="301"/>
      <c r="C42" s="301"/>
      <c r="D42" s="301"/>
      <c r="E42" s="301"/>
      <c r="F42" s="56"/>
      <c r="G42" s="56"/>
      <c r="H42" s="56"/>
      <c r="I42" s="56"/>
      <c r="J42" s="56"/>
      <c r="K42" s="56"/>
      <c r="L42" s="56"/>
      <c r="M42" s="56"/>
      <c r="N42" s="56"/>
      <c r="O42" s="56"/>
      <c r="P42" s="56"/>
      <c r="Q42" s="56"/>
      <c r="R42" s="56"/>
      <c r="S42" s="249"/>
      <c r="T42" s="250"/>
      <c r="U42" s="251"/>
      <c r="V42" s="250"/>
      <c r="W42" s="250"/>
      <c r="X42" s="249"/>
      <c r="Y42" s="57"/>
    </row>
    <row r="43" spans="1:25" s="59" customFormat="1" ht="62.4" customHeight="1" x14ac:dyDescent="0.3">
      <c r="A43" s="287"/>
      <c r="B43" s="288"/>
      <c r="C43" s="288"/>
      <c r="D43" s="288"/>
      <c r="E43" s="289"/>
      <c r="F43" s="56"/>
      <c r="G43" s="56"/>
      <c r="H43" s="56"/>
      <c r="I43" s="56"/>
      <c r="J43" s="56"/>
      <c r="K43" s="56"/>
      <c r="L43" s="56"/>
      <c r="M43" s="56"/>
      <c r="N43" s="56"/>
      <c r="O43" s="56"/>
      <c r="P43" s="56"/>
      <c r="Q43" s="56"/>
      <c r="R43" s="56"/>
      <c r="S43" s="249"/>
      <c r="T43" s="250"/>
      <c r="U43" s="251">
        <f>IF(Descripción="",1,0)</f>
        <v>1</v>
      </c>
      <c r="V43" s="250"/>
      <c r="W43" s="250"/>
      <c r="X43" s="249"/>
      <c r="Y43" s="57"/>
    </row>
    <row r="44" spans="1:25" s="59" customFormat="1" x14ac:dyDescent="0.3">
      <c r="A44" s="79"/>
      <c r="B44" s="79"/>
      <c r="C44" s="79"/>
      <c r="D44" s="79"/>
      <c r="E44" s="79"/>
      <c r="F44" s="56"/>
      <c r="G44" s="56"/>
      <c r="H44" s="56"/>
      <c r="I44" s="56"/>
      <c r="J44" s="56"/>
      <c r="K44" s="56"/>
      <c r="L44" s="56"/>
      <c r="M44" s="56"/>
      <c r="N44" s="56"/>
      <c r="O44" s="56"/>
      <c r="P44" s="56"/>
      <c r="Q44" s="56"/>
      <c r="R44" s="56"/>
      <c r="S44" s="249"/>
      <c r="T44" s="250"/>
      <c r="U44" s="251"/>
      <c r="V44" s="250"/>
      <c r="W44" s="250"/>
      <c r="X44" s="249"/>
      <c r="Y44" s="57"/>
    </row>
    <row r="45" spans="1:25" s="59" customFormat="1" ht="31.2" customHeight="1" x14ac:dyDescent="0.3">
      <c r="A45" s="302" t="s">
        <v>727</v>
      </c>
      <c r="B45" s="302"/>
      <c r="C45" s="302"/>
      <c r="D45" s="302"/>
      <c r="E45" s="302"/>
      <c r="F45" s="56"/>
      <c r="G45" s="56"/>
      <c r="H45" s="56"/>
      <c r="I45" s="56"/>
      <c r="J45" s="56"/>
      <c r="K45" s="56"/>
      <c r="L45" s="56"/>
      <c r="M45" s="56"/>
      <c r="N45" s="56"/>
      <c r="O45" s="56"/>
      <c r="P45" s="56"/>
      <c r="Q45" s="56"/>
      <c r="R45" s="56"/>
      <c r="S45" s="249"/>
      <c r="T45" s="250"/>
      <c r="U45" s="251"/>
      <c r="V45" s="250"/>
      <c r="W45" s="250"/>
      <c r="X45" s="249"/>
      <c r="Y45" s="57"/>
    </row>
    <row r="46" spans="1:25" s="59" customFormat="1" ht="62.4" customHeight="1" x14ac:dyDescent="0.3">
      <c r="A46" s="287"/>
      <c r="B46" s="288"/>
      <c r="C46" s="288"/>
      <c r="D46" s="288"/>
      <c r="E46" s="289"/>
      <c r="F46" s="56"/>
      <c r="G46" s="56"/>
      <c r="H46" s="80" t="b">
        <v>0</v>
      </c>
      <c r="I46" s="56"/>
      <c r="J46" s="56"/>
      <c r="K46" s="56"/>
      <c r="L46" s="56"/>
      <c r="M46" s="56"/>
      <c r="N46" s="56"/>
      <c r="O46" s="56"/>
      <c r="P46" s="56"/>
      <c r="Q46" s="56"/>
      <c r="R46" s="56"/>
      <c r="S46" s="249"/>
      <c r="T46" s="250"/>
      <c r="U46" s="251">
        <f>IF(Justificación="",1,0)</f>
        <v>1</v>
      </c>
      <c r="V46" s="250" t="s">
        <v>357</v>
      </c>
      <c r="W46" s="250"/>
      <c r="X46" s="249"/>
      <c r="Y46" s="57"/>
    </row>
    <row r="47" spans="1:25" s="59" customFormat="1" ht="15.6" customHeight="1" x14ac:dyDescent="0.3">
      <c r="A47" s="81"/>
      <c r="B47" s="81"/>
      <c r="C47" s="81"/>
      <c r="D47" s="81"/>
      <c r="E47" s="81"/>
      <c r="F47" s="56"/>
      <c r="G47" s="56"/>
      <c r="H47" s="56"/>
      <c r="I47" s="56"/>
      <c r="J47" s="56"/>
      <c r="K47" s="56"/>
      <c r="L47" s="56"/>
      <c r="M47" s="56"/>
      <c r="N47" s="56"/>
      <c r="O47" s="56"/>
      <c r="P47" s="56"/>
      <c r="Q47" s="56"/>
      <c r="R47" s="56"/>
      <c r="S47" s="249"/>
      <c r="T47" s="250"/>
      <c r="U47" s="251"/>
      <c r="V47" s="250"/>
      <c r="W47" s="250"/>
      <c r="X47" s="249"/>
      <c r="Y47" s="57"/>
    </row>
    <row r="48" spans="1:25" s="59" customFormat="1" ht="15.6" customHeight="1" x14ac:dyDescent="0.3">
      <c r="A48" s="65" t="s">
        <v>691</v>
      </c>
      <c r="C48" s="108" t="b">
        <v>0</v>
      </c>
      <c r="D48" s="272" t="s">
        <v>1</v>
      </c>
      <c r="E48" s="272"/>
      <c r="F48" s="56"/>
      <c r="G48" s="56"/>
      <c r="H48" s="56"/>
      <c r="I48" s="56"/>
      <c r="J48" s="56"/>
      <c r="K48" s="56"/>
      <c r="L48" s="56"/>
      <c r="M48" s="56"/>
      <c r="N48" s="56"/>
      <c r="O48" s="56"/>
      <c r="P48" s="56"/>
      <c r="Q48" s="56"/>
      <c r="R48" s="56"/>
      <c r="S48" s="249"/>
      <c r="T48" s="250"/>
      <c r="U48" s="251">
        <f>IF(ParteOtraOferta=FALSE,1,0)</f>
        <v>1</v>
      </c>
      <c r="V48" s="250" t="s">
        <v>352</v>
      </c>
      <c r="W48" s="250">
        <f>ABS(U49-U48)+ABS(U50-U48)</f>
        <v>0</v>
      </c>
      <c r="X48" s="249"/>
      <c r="Y48" s="57"/>
    </row>
    <row r="49" spans="1:25" s="59" customFormat="1" ht="15.6" customHeight="1" x14ac:dyDescent="0.3">
      <c r="A49" s="14" t="s">
        <v>82</v>
      </c>
      <c r="B49" s="287"/>
      <c r="C49" s="289"/>
      <c r="D49" s="47" t="s">
        <v>83</v>
      </c>
      <c r="E49" s="48"/>
      <c r="F49" s="56"/>
      <c r="G49" s="56"/>
      <c r="H49" s="56"/>
      <c r="I49" s="56"/>
      <c r="J49" s="56"/>
      <c r="K49" s="56"/>
      <c r="L49" s="56"/>
      <c r="M49" s="56"/>
      <c r="N49" s="56"/>
      <c r="O49" s="56"/>
      <c r="P49" s="56"/>
      <c r="Q49" s="56"/>
      <c r="R49" s="56"/>
      <c r="S49" s="249"/>
      <c r="T49" s="250"/>
      <c r="U49" s="251">
        <f>IF(OtraOfertaNom="",1,0)</f>
        <v>1</v>
      </c>
      <c r="V49" s="250"/>
      <c r="W49" s="250"/>
      <c r="X49" s="249"/>
      <c r="Y49" s="57"/>
    </row>
    <row r="50" spans="1:25" s="59" customFormat="1" ht="15.6" customHeight="1" x14ac:dyDescent="0.3">
      <c r="A50" s="14" t="s">
        <v>84</v>
      </c>
      <c r="B50" s="287"/>
      <c r="C50" s="289"/>
      <c r="D50" s="47" t="s">
        <v>83</v>
      </c>
      <c r="E50" s="48"/>
      <c r="F50" s="56"/>
      <c r="G50" s="56"/>
      <c r="H50" s="56"/>
      <c r="I50" s="56"/>
      <c r="J50" s="56"/>
      <c r="K50" s="56"/>
      <c r="L50" s="56"/>
      <c r="M50" s="56"/>
      <c r="N50" s="56"/>
      <c r="O50" s="56"/>
      <c r="P50" s="56"/>
      <c r="Q50" s="56"/>
      <c r="R50" s="56"/>
      <c r="S50" s="249"/>
      <c r="T50" s="250"/>
      <c r="U50" s="251">
        <f>IF(OtraAsigNom="",1,0)</f>
        <v>1</v>
      </c>
      <c r="V50" s="250"/>
      <c r="W50" s="250"/>
      <c r="X50" s="249"/>
      <c r="Y50" s="57"/>
    </row>
    <row r="51" spans="1:25" s="59" customFormat="1" ht="15.6" customHeight="1" x14ac:dyDescent="0.3">
      <c r="A51" s="81"/>
      <c r="B51" s="81"/>
      <c r="C51" s="81"/>
      <c r="D51" s="81"/>
      <c r="E51" s="81"/>
      <c r="F51" s="56"/>
      <c r="G51" s="56"/>
      <c r="H51" s="56"/>
      <c r="I51" s="56"/>
      <c r="J51" s="56"/>
      <c r="K51" s="56"/>
      <c r="L51" s="56"/>
      <c r="M51" s="56"/>
      <c r="N51" s="56"/>
      <c r="O51" s="56"/>
      <c r="P51" s="56"/>
      <c r="Q51" s="56"/>
      <c r="R51" s="56"/>
      <c r="S51" s="249"/>
      <c r="T51" s="250"/>
      <c r="U51" s="251"/>
      <c r="V51" s="250"/>
      <c r="W51" s="250"/>
      <c r="X51" s="249"/>
      <c r="Y51" s="57"/>
    </row>
    <row r="52" spans="1:25" s="59" customFormat="1" ht="15.6" customHeight="1" x14ac:dyDescent="0.3">
      <c r="A52" s="55" t="s">
        <v>71</v>
      </c>
      <c r="B52" s="277" t="s">
        <v>345</v>
      </c>
      <c r="C52" s="278"/>
      <c r="D52" s="81"/>
      <c r="E52" s="81"/>
      <c r="F52" s="56"/>
      <c r="G52" s="56"/>
      <c r="H52" s="56"/>
      <c r="I52" s="56"/>
      <c r="J52" s="56"/>
      <c r="K52" s="56"/>
      <c r="L52" s="56"/>
      <c r="M52" s="56"/>
      <c r="N52" s="56"/>
      <c r="O52" s="56"/>
      <c r="P52" s="56"/>
      <c r="Q52" s="56"/>
      <c r="R52" s="56"/>
      <c r="S52" s="249"/>
      <c r="T52" s="250"/>
      <c r="U52" s="251">
        <f>IF(ODS="",1,0)</f>
        <v>0</v>
      </c>
      <c r="V52" s="250"/>
      <c r="W52" s="250"/>
      <c r="X52" s="249"/>
      <c r="Y52" s="57"/>
    </row>
    <row r="53" spans="1:25" s="59" customFormat="1" ht="15.6" customHeight="1" x14ac:dyDescent="0.3">
      <c r="A53" s="55"/>
      <c r="B53" s="82"/>
      <c r="C53" s="82"/>
      <c r="D53" s="82"/>
      <c r="E53" s="82"/>
      <c r="F53" s="56"/>
      <c r="G53" s="56"/>
      <c r="H53" s="56"/>
      <c r="I53" s="56"/>
      <c r="J53" s="56"/>
      <c r="K53" s="56"/>
      <c r="L53" s="56"/>
      <c r="M53" s="56"/>
      <c r="N53" s="56"/>
      <c r="O53" s="56"/>
      <c r="P53" s="56"/>
      <c r="Q53" s="56"/>
      <c r="R53" s="56"/>
      <c r="S53" s="249"/>
      <c r="T53" s="250"/>
      <c r="U53" s="251"/>
      <c r="V53" s="250"/>
      <c r="W53" s="250"/>
      <c r="X53" s="249"/>
      <c r="Y53" s="57"/>
    </row>
    <row r="54" spans="1:25" s="59" customFormat="1" ht="15.6" customHeight="1" x14ac:dyDescent="0.3">
      <c r="A54" s="279" t="s">
        <v>442</v>
      </c>
      <c r="B54" s="279"/>
      <c r="C54" s="279"/>
      <c r="D54" s="279"/>
      <c r="E54" s="279"/>
      <c r="F54" s="56"/>
      <c r="G54" s="56"/>
      <c r="H54" s="56"/>
      <c r="I54" s="56"/>
      <c r="J54" s="56"/>
      <c r="K54" s="56"/>
      <c r="L54" s="56"/>
      <c r="M54" s="56"/>
      <c r="N54" s="56"/>
      <c r="O54" s="56"/>
      <c r="P54" s="56"/>
      <c r="Q54" s="56"/>
      <c r="R54" s="56"/>
      <c r="S54" s="249"/>
      <c r="T54" s="250"/>
      <c r="U54" s="251"/>
      <c r="V54" s="250"/>
      <c r="W54" s="250"/>
      <c r="X54" s="249"/>
      <c r="Y54" s="57"/>
    </row>
    <row r="55" spans="1:25" s="59" customFormat="1" ht="15.6" customHeight="1" x14ac:dyDescent="0.3">
      <c r="A55" s="81"/>
      <c r="B55" s="81"/>
      <c r="C55" s="81"/>
      <c r="D55" s="81"/>
      <c r="E55" s="81"/>
      <c r="F55" s="56"/>
      <c r="G55" s="56"/>
      <c r="H55" s="56"/>
      <c r="I55" s="56"/>
      <c r="J55" s="56"/>
      <c r="K55" s="56"/>
      <c r="L55" s="56"/>
      <c r="M55" s="56"/>
      <c r="N55" s="56"/>
      <c r="O55" s="56"/>
      <c r="P55" s="56"/>
      <c r="Q55" s="56"/>
      <c r="R55" s="56"/>
      <c r="S55" s="249"/>
      <c r="T55" s="250"/>
      <c r="U55" s="251"/>
      <c r="V55" s="250"/>
      <c r="W55" s="250"/>
      <c r="X55" s="249"/>
      <c r="Y55" s="57"/>
    </row>
    <row r="56" spans="1:25" s="59" customFormat="1" ht="15.6" customHeight="1" x14ac:dyDescent="0.3">
      <c r="A56" s="65" t="s">
        <v>42</v>
      </c>
      <c r="B56" s="26"/>
      <c r="C56" s="285" t="s">
        <v>72</v>
      </c>
      <c r="D56" s="286"/>
      <c r="E56" s="108" t="b">
        <v>0</v>
      </c>
      <c r="F56" s="56"/>
      <c r="G56" s="56"/>
      <c r="H56" s="56"/>
      <c r="I56" s="56"/>
      <c r="J56" s="56"/>
      <c r="K56" s="56"/>
      <c r="L56" s="56"/>
      <c r="M56" s="56"/>
      <c r="N56" s="56"/>
      <c r="O56" s="56"/>
      <c r="P56" s="56"/>
      <c r="Q56" s="56"/>
      <c r="R56" s="56"/>
      <c r="S56" s="249"/>
      <c r="T56" s="250"/>
      <c r="U56" s="251">
        <f>IF(TitPrevia="",1,0)</f>
        <v>1</v>
      </c>
      <c r="V56" s="250"/>
      <c r="W56" s="250"/>
      <c r="X56" s="249"/>
      <c r="Y56" s="57"/>
    </row>
    <row r="57" spans="1:25" s="59" customFormat="1" ht="15.6" customHeight="1" x14ac:dyDescent="0.3">
      <c r="A57" s="65"/>
      <c r="F57" s="56"/>
      <c r="G57" s="56"/>
      <c r="H57" s="56"/>
      <c r="I57" s="56"/>
      <c r="J57" s="56"/>
      <c r="K57" s="56"/>
      <c r="L57" s="56"/>
      <c r="M57" s="56"/>
      <c r="N57" s="56"/>
      <c r="O57" s="56"/>
      <c r="P57" s="56"/>
      <c r="Q57" s="56"/>
      <c r="R57" s="56"/>
      <c r="S57" s="249"/>
      <c r="T57" s="250"/>
      <c r="U57" s="251"/>
      <c r="V57" s="250"/>
      <c r="W57" s="250"/>
      <c r="X57" s="249"/>
      <c r="Y57" s="57"/>
    </row>
    <row r="58" spans="1:25" s="59" customFormat="1" ht="15.6" customHeight="1" x14ac:dyDescent="0.3">
      <c r="A58" s="301" t="s">
        <v>440</v>
      </c>
      <c r="B58" s="301"/>
      <c r="C58" s="301"/>
      <c r="D58" s="301"/>
      <c r="E58" s="301"/>
      <c r="F58" s="56"/>
      <c r="G58" s="56"/>
      <c r="H58" s="56"/>
      <c r="I58" s="56"/>
      <c r="J58" s="56"/>
      <c r="K58" s="56"/>
      <c r="L58" s="56"/>
      <c r="M58" s="56"/>
      <c r="N58" s="56"/>
      <c r="O58" s="56"/>
      <c r="P58" s="56"/>
      <c r="Q58" s="56"/>
      <c r="R58" s="56"/>
      <c r="S58" s="249"/>
      <c r="T58" s="250"/>
      <c r="U58" s="251"/>
      <c r="V58" s="250"/>
      <c r="W58" s="250"/>
      <c r="X58" s="249"/>
      <c r="Y58" s="57"/>
    </row>
    <row r="59" spans="1:25" s="59" customFormat="1" ht="62.4" customHeight="1" x14ac:dyDescent="0.3">
      <c r="A59" s="287"/>
      <c r="B59" s="288"/>
      <c r="C59" s="288"/>
      <c r="D59" s="288"/>
      <c r="E59" s="289"/>
      <c r="F59" s="56"/>
      <c r="G59" s="56"/>
      <c r="H59" s="56"/>
      <c r="I59" s="56"/>
      <c r="J59" s="56"/>
      <c r="K59" s="56"/>
      <c r="L59" s="56"/>
      <c r="M59" s="56"/>
      <c r="N59" s="56"/>
      <c r="O59" s="56"/>
      <c r="P59" s="56"/>
      <c r="Q59" s="56"/>
      <c r="R59" s="56"/>
      <c r="S59" s="249"/>
      <c r="T59" s="250"/>
      <c r="U59" s="251">
        <f>IF(Destinatarios="",1,0)</f>
        <v>1</v>
      </c>
      <c r="V59" s="250" t="s">
        <v>351</v>
      </c>
      <c r="W59" s="250">
        <f>SUM(U56:U65)</f>
        <v>3</v>
      </c>
      <c r="X59" s="249"/>
      <c r="Y59" s="57"/>
    </row>
    <row r="60" spans="1:25" s="59" customFormat="1" ht="15.6" customHeight="1" x14ac:dyDescent="0.3">
      <c r="A60" s="56"/>
      <c r="B60" s="56"/>
      <c r="C60" s="56"/>
      <c r="D60" s="56"/>
      <c r="E60" s="56"/>
      <c r="F60" s="56"/>
      <c r="G60" s="56"/>
      <c r="H60" s="56"/>
      <c r="I60" s="56"/>
      <c r="J60" s="56"/>
      <c r="K60" s="56"/>
      <c r="L60" s="56"/>
      <c r="M60" s="56"/>
      <c r="N60" s="56"/>
      <c r="O60" s="56"/>
      <c r="P60" s="56"/>
      <c r="Q60" s="56"/>
      <c r="R60" s="56"/>
      <c r="S60" s="249"/>
      <c r="T60" s="250"/>
      <c r="U60" s="251"/>
      <c r="V60" s="250"/>
      <c r="W60" s="250"/>
      <c r="X60" s="249"/>
      <c r="Y60" s="57"/>
    </row>
    <row r="61" spans="1:25" s="59" customFormat="1" ht="29.4" customHeight="1" x14ac:dyDescent="0.3">
      <c r="A61" s="301" t="s">
        <v>683</v>
      </c>
      <c r="B61" s="301"/>
      <c r="C61" s="301"/>
      <c r="D61" s="301"/>
      <c r="E61" s="301"/>
      <c r="F61" s="56"/>
      <c r="G61" s="56"/>
      <c r="H61" s="56"/>
      <c r="I61" s="56"/>
      <c r="J61" s="56"/>
      <c r="K61" s="56"/>
      <c r="L61" s="56"/>
      <c r="M61" s="56"/>
      <c r="N61" s="56"/>
      <c r="O61" s="56"/>
      <c r="P61" s="56"/>
      <c r="Q61" s="56"/>
      <c r="R61" s="56"/>
      <c r="S61" s="249"/>
      <c r="T61" s="250"/>
      <c r="U61" s="251"/>
      <c r="V61" s="250"/>
      <c r="W61" s="250"/>
      <c r="X61" s="249"/>
      <c r="Y61" s="57"/>
    </row>
    <row r="62" spans="1:25" s="59" customFormat="1" ht="62.4" customHeight="1" x14ac:dyDescent="0.3">
      <c r="A62" s="287"/>
      <c r="B62" s="288"/>
      <c r="C62" s="288"/>
      <c r="D62" s="288"/>
      <c r="E62" s="289"/>
      <c r="F62" s="56"/>
      <c r="G62" s="56"/>
      <c r="H62" s="56"/>
      <c r="I62" s="56"/>
      <c r="J62" s="56"/>
      <c r="K62" s="56"/>
      <c r="L62" s="56"/>
      <c r="M62" s="56"/>
      <c r="N62" s="56"/>
      <c r="O62" s="56"/>
      <c r="P62" s="56"/>
      <c r="Q62" s="56"/>
      <c r="R62" s="56"/>
      <c r="S62" s="249"/>
      <c r="T62" s="250"/>
      <c r="U62" s="251">
        <f>IF(CritSelección="",1,0)</f>
        <v>1</v>
      </c>
      <c r="V62" s="250"/>
      <c r="W62" s="250"/>
      <c r="X62" s="249"/>
      <c r="Y62" s="57"/>
    </row>
    <row r="63" spans="1:25" s="59" customFormat="1" ht="15.6" customHeight="1" x14ac:dyDescent="0.3">
      <c r="A63" s="56"/>
      <c r="B63" s="56"/>
      <c r="C63" s="56"/>
      <c r="D63" s="56"/>
      <c r="E63" s="56"/>
      <c r="F63" s="56"/>
      <c r="G63" s="56"/>
      <c r="H63" s="56"/>
      <c r="I63" s="56"/>
      <c r="J63" s="56"/>
      <c r="K63" s="56"/>
      <c r="L63" s="56"/>
      <c r="M63" s="56"/>
      <c r="N63" s="56"/>
      <c r="O63" s="56"/>
      <c r="P63" s="56"/>
      <c r="Q63" s="56"/>
      <c r="R63" s="56"/>
      <c r="S63" s="249"/>
      <c r="T63" s="250"/>
      <c r="U63" s="251"/>
      <c r="V63" s="250"/>
      <c r="W63" s="250"/>
      <c r="X63" s="249"/>
      <c r="Y63" s="57"/>
    </row>
    <row r="64" spans="1:25" s="59" customFormat="1" ht="29.4" customHeight="1" x14ac:dyDescent="0.3">
      <c r="A64" s="301" t="s">
        <v>684</v>
      </c>
      <c r="B64" s="301"/>
      <c r="C64" s="301"/>
      <c r="D64" s="301"/>
      <c r="E64" s="301"/>
      <c r="F64" s="56"/>
      <c r="G64" s="56"/>
      <c r="H64" s="56"/>
      <c r="I64" s="56"/>
      <c r="J64" s="56"/>
      <c r="K64" s="56"/>
      <c r="L64" s="56"/>
      <c r="M64" s="56"/>
      <c r="N64" s="56"/>
      <c r="O64" s="56"/>
      <c r="P64" s="56"/>
      <c r="Q64" s="56"/>
      <c r="R64" s="56"/>
      <c r="S64" s="249"/>
      <c r="T64" s="250"/>
      <c r="U64" s="251"/>
      <c r="V64" s="250"/>
      <c r="W64" s="250"/>
      <c r="X64" s="249"/>
      <c r="Y64" s="57"/>
    </row>
    <row r="65" spans="1:25" s="59" customFormat="1" ht="62.4" customHeight="1" x14ac:dyDescent="0.3">
      <c r="A65" s="287"/>
      <c r="B65" s="288"/>
      <c r="C65" s="288"/>
      <c r="D65" s="288"/>
      <c r="E65" s="289"/>
      <c r="F65" s="56"/>
      <c r="G65" s="56"/>
      <c r="H65" s="56"/>
      <c r="I65" s="56"/>
      <c r="J65" s="56"/>
      <c r="K65" s="56"/>
      <c r="L65" s="56"/>
      <c r="M65" s="56"/>
      <c r="N65" s="56"/>
      <c r="O65" s="56"/>
      <c r="P65" s="56"/>
      <c r="Q65" s="56"/>
      <c r="R65" s="56"/>
      <c r="S65" s="249"/>
      <c r="T65" s="250"/>
      <c r="U65" s="251"/>
      <c r="V65" s="250"/>
      <c r="W65" s="250"/>
      <c r="X65" s="249"/>
      <c r="Y65" s="57"/>
    </row>
    <row r="66" spans="1:25" s="59" customFormat="1" ht="15.6" customHeight="1" x14ac:dyDescent="0.3">
      <c r="A66" s="56"/>
      <c r="B66" s="56"/>
      <c r="C66" s="56"/>
      <c r="D66" s="56"/>
      <c r="E66" s="56"/>
      <c r="F66" s="56"/>
      <c r="G66" s="56"/>
      <c r="H66" s="56"/>
      <c r="I66" s="56"/>
      <c r="J66" s="56"/>
      <c r="K66" s="56"/>
      <c r="L66" s="56"/>
      <c r="M66" s="56"/>
      <c r="N66" s="56"/>
      <c r="O66" s="56"/>
      <c r="P66" s="56"/>
      <c r="Q66" s="56"/>
      <c r="R66" s="56"/>
      <c r="S66" s="249"/>
      <c r="T66" s="250"/>
      <c r="U66" s="251"/>
      <c r="V66" s="250"/>
      <c r="W66" s="250"/>
      <c r="X66" s="249"/>
      <c r="Y66" s="57"/>
    </row>
    <row r="67" spans="1:25" s="59" customFormat="1" ht="15.6" customHeight="1" x14ac:dyDescent="0.3">
      <c r="A67" s="279" t="s">
        <v>447</v>
      </c>
      <c r="B67" s="279"/>
      <c r="C67" s="279"/>
      <c r="D67" s="279"/>
      <c r="E67" s="279"/>
      <c r="F67" s="56"/>
      <c r="G67" s="56"/>
      <c r="H67" s="56"/>
      <c r="I67" s="56"/>
      <c r="J67" s="56"/>
      <c r="K67" s="56"/>
      <c r="L67" s="56"/>
      <c r="M67" s="56"/>
      <c r="N67" s="56"/>
      <c r="O67" s="56"/>
      <c r="P67" s="56"/>
      <c r="Q67" s="56"/>
      <c r="R67" s="56"/>
      <c r="S67" s="249"/>
      <c r="T67" s="250"/>
      <c r="U67" s="251"/>
      <c r="V67" s="250"/>
      <c r="W67" s="250"/>
      <c r="X67" s="249"/>
      <c r="Y67" s="57"/>
    </row>
    <row r="68" spans="1:25" s="59" customFormat="1" ht="15.6" customHeight="1" x14ac:dyDescent="0.3">
      <c r="A68" s="83"/>
      <c r="B68" s="83"/>
      <c r="C68" s="83"/>
      <c r="D68" s="83"/>
      <c r="E68" s="83"/>
      <c r="F68" s="56"/>
      <c r="G68" s="56"/>
      <c r="H68" s="56"/>
      <c r="I68" s="56"/>
      <c r="J68" s="56"/>
      <c r="K68" s="56"/>
      <c r="L68" s="56"/>
      <c r="M68" s="56"/>
      <c r="N68" s="56"/>
      <c r="O68" s="56"/>
      <c r="P68" s="56"/>
      <c r="Q68" s="56"/>
      <c r="R68" s="56"/>
      <c r="S68" s="249"/>
      <c r="T68" s="250"/>
      <c r="U68" s="251"/>
      <c r="V68" s="250"/>
      <c r="W68" s="250"/>
      <c r="X68" s="249"/>
      <c r="Y68" s="57"/>
    </row>
    <row r="69" spans="1:25" s="59" customFormat="1" ht="15.6" customHeight="1" x14ac:dyDescent="0.3">
      <c r="A69" s="84" t="s">
        <v>463</v>
      </c>
      <c r="B69" s="108" t="b">
        <v>0</v>
      </c>
      <c r="C69" s="85" t="s">
        <v>672</v>
      </c>
      <c r="D69" s="273"/>
      <c r="E69" s="274"/>
      <c r="F69" s="56"/>
      <c r="G69" s="56"/>
      <c r="H69" s="56"/>
      <c r="I69" s="56"/>
      <c r="J69" s="56"/>
      <c r="K69" s="56"/>
      <c r="L69" s="56"/>
      <c r="M69" s="56"/>
      <c r="N69" s="56"/>
      <c r="O69" s="56"/>
      <c r="P69" s="56"/>
      <c r="Q69" s="56"/>
      <c r="R69" s="56"/>
      <c r="S69" s="249"/>
      <c r="T69" s="250"/>
      <c r="U69" s="251"/>
      <c r="V69" s="250"/>
      <c r="W69" s="250"/>
      <c r="X69" s="249"/>
      <c r="Y69" s="57"/>
    </row>
    <row r="70" spans="1:25" s="59" customFormat="1" ht="15.6" customHeight="1" x14ac:dyDescent="0.3">
      <c r="A70" s="280" t="s">
        <v>439</v>
      </c>
      <c r="B70" s="281"/>
      <c r="C70" s="282"/>
      <c r="D70" s="283"/>
      <c r="E70" s="284"/>
      <c r="F70" s="56"/>
      <c r="G70" s="56"/>
      <c r="H70" s="56"/>
      <c r="I70" s="56"/>
      <c r="J70" s="56"/>
      <c r="K70" s="56"/>
      <c r="L70" s="56"/>
      <c r="M70" s="56"/>
      <c r="N70" s="56"/>
      <c r="O70" s="56"/>
      <c r="P70" s="56"/>
      <c r="Q70" s="56"/>
      <c r="R70" s="56"/>
      <c r="S70" s="249"/>
      <c r="T70" s="250"/>
      <c r="U70" s="251">
        <f>IF(En.Colab=FALSE,0,IF(En.Colab.Entidad="",1,0))</f>
        <v>0</v>
      </c>
      <c r="V70" s="245" t="s">
        <v>464</v>
      </c>
      <c r="W70" s="250"/>
      <c r="X70" s="249"/>
      <c r="Y70" s="57"/>
    </row>
    <row r="71" spans="1:25" s="59" customFormat="1" ht="15.6" customHeight="1" x14ac:dyDescent="0.3">
      <c r="A71" s="61"/>
      <c r="B71" s="63"/>
      <c r="C71" s="63"/>
      <c r="D71" s="63"/>
      <c r="E71" s="57"/>
      <c r="F71" s="56"/>
      <c r="G71" s="56"/>
      <c r="H71" s="56"/>
      <c r="I71" s="56"/>
      <c r="J71" s="56"/>
      <c r="K71" s="56"/>
      <c r="L71" s="56"/>
      <c r="M71" s="56"/>
      <c r="N71" s="56"/>
      <c r="O71" s="56"/>
      <c r="P71" s="56"/>
      <c r="Q71" s="56"/>
      <c r="R71" s="56"/>
      <c r="S71" s="249"/>
      <c r="T71" s="250"/>
      <c r="U71" s="251"/>
      <c r="V71" s="250"/>
      <c r="W71" s="250"/>
      <c r="X71" s="249"/>
      <c r="Y71" s="57"/>
    </row>
    <row r="72" spans="1:25" s="59" customFormat="1" ht="46.8" customHeight="1" x14ac:dyDescent="0.3">
      <c r="A72" s="55" t="s">
        <v>69</v>
      </c>
      <c r="B72" s="312"/>
      <c r="C72" s="313"/>
      <c r="D72" s="313"/>
      <c r="E72" s="314"/>
      <c r="F72" s="56"/>
      <c r="G72" s="56"/>
      <c r="H72" s="56"/>
      <c r="J72" s="56"/>
      <c r="K72" s="56"/>
      <c r="L72" s="56"/>
      <c r="M72" s="56"/>
      <c r="N72" s="56"/>
      <c r="O72" s="56"/>
      <c r="P72" s="56"/>
      <c r="Q72" s="56"/>
      <c r="R72" s="56"/>
      <c r="S72" s="249"/>
      <c r="T72" s="250"/>
      <c r="U72" s="250"/>
      <c r="V72" s="250"/>
      <c r="W72" s="250"/>
      <c r="X72" s="249"/>
      <c r="Y72" s="57"/>
    </row>
    <row r="73" spans="1:25" s="59" customFormat="1" ht="15.6" customHeight="1" x14ac:dyDescent="0.3">
      <c r="A73" s="55"/>
      <c r="B73" s="82"/>
      <c r="C73" s="82"/>
      <c r="D73" s="82"/>
      <c r="E73" s="82"/>
      <c r="F73" s="56"/>
      <c r="G73" s="56"/>
      <c r="H73" s="56"/>
      <c r="I73" s="56"/>
      <c r="J73" s="56"/>
      <c r="K73" s="56"/>
      <c r="L73" s="56"/>
      <c r="M73" s="56"/>
      <c r="N73" s="56"/>
      <c r="O73" s="56"/>
      <c r="P73" s="56"/>
      <c r="Q73" s="56"/>
      <c r="R73" s="56"/>
      <c r="S73" s="249"/>
      <c r="T73" s="250"/>
      <c r="U73" s="251"/>
      <c r="V73" s="250"/>
      <c r="W73" s="250"/>
      <c r="X73" s="249"/>
      <c r="Y73" s="57"/>
    </row>
    <row r="74" spans="1:25" ht="15.6" customHeight="1" x14ac:dyDescent="0.3">
      <c r="A74" s="86" t="s">
        <v>462</v>
      </c>
      <c r="B74" s="108" t="b">
        <v>0</v>
      </c>
      <c r="D74" s="45"/>
      <c r="E74" s="45"/>
      <c r="U74" s="251">
        <f>IF(Gestion.Ext=FALSE,0,IF(Gest.Ext.Nom="",1,0))</f>
        <v>0</v>
      </c>
      <c r="V74" s="245" t="s">
        <v>361</v>
      </c>
    </row>
    <row r="75" spans="1:25" ht="15.6" customHeight="1" x14ac:dyDescent="0.3">
      <c r="A75" s="280" t="s">
        <v>43</v>
      </c>
      <c r="B75" s="281"/>
      <c r="C75" s="282"/>
      <c r="D75" s="283"/>
      <c r="E75" s="284"/>
    </row>
    <row r="76" spans="1:25" ht="15.6" customHeight="1" x14ac:dyDescent="0.3">
      <c r="A76" s="54"/>
      <c r="B76" s="54"/>
      <c r="C76" s="87"/>
      <c r="D76" s="87"/>
      <c r="E76" s="87"/>
    </row>
    <row r="77" spans="1:25" ht="15.6" customHeight="1" x14ac:dyDescent="0.3">
      <c r="A77" s="88" t="s">
        <v>673</v>
      </c>
      <c r="B77" s="1" t="s">
        <v>674</v>
      </c>
      <c r="D77" s="1" t="s">
        <v>675</v>
      </c>
      <c r="E77" s="87"/>
    </row>
    <row r="78" spans="1:25" ht="15.6" customHeight="1" x14ac:dyDescent="0.3">
      <c r="A78" s="54"/>
      <c r="B78" s="275"/>
      <c r="C78" s="276"/>
      <c r="D78" s="29"/>
      <c r="E78" s="87"/>
    </row>
    <row r="79" spans="1:25" ht="15.6" customHeight="1" x14ac:dyDescent="0.3">
      <c r="B79" s="275"/>
      <c r="C79" s="276"/>
      <c r="D79" s="29"/>
      <c r="E79" s="45"/>
    </row>
    <row r="80" spans="1:25" ht="15.6" customHeight="1" x14ac:dyDescent="0.3">
      <c r="B80" s="275"/>
      <c r="C80" s="276"/>
      <c r="D80" s="29"/>
      <c r="E80" s="45"/>
    </row>
    <row r="81" spans="1:36" ht="15.6" customHeight="1" x14ac:dyDescent="0.3">
      <c r="A81" s="86"/>
      <c r="B81" s="89"/>
      <c r="C81" s="90"/>
      <c r="D81" s="45"/>
      <c r="E81" s="45"/>
    </row>
    <row r="82" spans="1:36" ht="15.6" customHeight="1" x14ac:dyDescent="0.3">
      <c r="A82" s="279" t="s">
        <v>446</v>
      </c>
      <c r="B82" s="279"/>
      <c r="C82" s="279"/>
      <c r="D82" s="279"/>
      <c r="E82" s="279"/>
      <c r="U82" s="251">
        <f>IF(DirNombre="",1,0)</f>
        <v>1</v>
      </c>
    </row>
    <row r="83" spans="1:36" ht="15.6" customHeight="1" x14ac:dyDescent="0.3">
      <c r="A83" s="91"/>
      <c r="B83" s="92"/>
      <c r="C83" s="45"/>
      <c r="D83" s="45"/>
      <c r="E83" s="45"/>
      <c r="U83" s="251">
        <f>IF(Dir.Tel="",1,0)</f>
        <v>1</v>
      </c>
      <c r="V83" s="245" t="s">
        <v>349</v>
      </c>
      <c r="W83" s="245">
        <f>SUM(U82:U87)</f>
        <v>6</v>
      </c>
    </row>
    <row r="84" spans="1:36" s="59" customFormat="1" ht="15.6" customHeight="1" x14ac:dyDescent="0.3">
      <c r="A84" s="63" t="s">
        <v>88</v>
      </c>
      <c r="B84" s="303"/>
      <c r="C84" s="303"/>
      <c r="D84" s="93" t="s">
        <v>85</v>
      </c>
      <c r="E84" s="10"/>
      <c r="F84" s="56"/>
      <c r="G84" s="56"/>
      <c r="H84" s="56"/>
      <c r="I84" s="56"/>
      <c r="J84" s="56"/>
      <c r="K84" s="56"/>
      <c r="L84" s="56"/>
      <c r="M84" s="56"/>
      <c r="N84" s="56"/>
      <c r="O84" s="56"/>
      <c r="P84" s="56"/>
      <c r="Q84" s="56"/>
      <c r="R84" s="56"/>
      <c r="S84" s="249"/>
      <c r="T84" s="250"/>
      <c r="U84" s="251">
        <f>IF(Dir.Email="",1,0)</f>
        <v>1</v>
      </c>
      <c r="V84" s="250"/>
      <c r="W84" s="250"/>
      <c r="X84" s="249"/>
      <c r="Y84" s="57"/>
    </row>
    <row r="85" spans="1:36" s="59" customFormat="1" ht="15.6" customHeight="1" x14ac:dyDescent="0.3">
      <c r="A85" s="63" t="s">
        <v>86</v>
      </c>
      <c r="B85" s="27"/>
      <c r="C85" s="94" t="s">
        <v>91</v>
      </c>
      <c r="D85" s="306"/>
      <c r="E85" s="305"/>
      <c r="F85" s="56"/>
      <c r="G85" s="56"/>
      <c r="H85" s="56"/>
      <c r="I85" s="56"/>
      <c r="J85" s="56"/>
      <c r="K85" s="56"/>
      <c r="L85" s="56"/>
      <c r="M85" s="56"/>
      <c r="N85" s="56"/>
      <c r="O85" s="56"/>
      <c r="P85" s="56"/>
      <c r="Q85" s="56"/>
      <c r="R85" s="56"/>
      <c r="S85" s="249"/>
      <c r="T85" s="250"/>
      <c r="U85" s="251">
        <f>IF(DirDNI="",1,0)</f>
        <v>1</v>
      </c>
      <c r="V85" s="250"/>
      <c r="W85" s="250"/>
      <c r="X85" s="249"/>
      <c r="Y85" s="57"/>
    </row>
    <row r="86" spans="1:36" s="59" customFormat="1" ht="15.6" customHeight="1" x14ac:dyDescent="0.3">
      <c r="A86" s="63" t="s">
        <v>101</v>
      </c>
      <c r="B86" s="303"/>
      <c r="C86" s="303"/>
      <c r="D86" s="57"/>
      <c r="E86" s="57"/>
      <c r="F86" s="56"/>
      <c r="G86" s="56"/>
      <c r="H86" s="56"/>
      <c r="I86" s="56"/>
      <c r="J86" s="56"/>
      <c r="K86" s="56"/>
      <c r="L86" s="56"/>
      <c r="M86" s="56"/>
      <c r="N86" s="56"/>
      <c r="O86" s="56"/>
      <c r="P86" s="56"/>
      <c r="Q86" s="56"/>
      <c r="R86" s="56"/>
      <c r="S86" s="249"/>
      <c r="T86" s="250"/>
      <c r="U86" s="251">
        <f>IF(Dir.Cat="",1,0)</f>
        <v>1</v>
      </c>
      <c r="V86" s="250"/>
      <c r="W86" s="250"/>
      <c r="X86" s="249"/>
      <c r="Y86" s="57"/>
      <c r="AJ86" s="58" t="str">
        <f>IF(B86="No permanente","0","1")</f>
        <v>1</v>
      </c>
    </row>
    <row r="87" spans="1:36" s="59" customFormat="1" ht="15.6" customHeight="1" x14ac:dyDescent="0.3">
      <c r="A87" s="63" t="s">
        <v>102</v>
      </c>
      <c r="B87" s="308"/>
      <c r="C87" s="308"/>
      <c r="D87" s="95"/>
      <c r="E87" s="95"/>
      <c r="F87" s="56"/>
      <c r="G87" s="56"/>
      <c r="H87" s="56"/>
      <c r="I87" s="56"/>
      <c r="J87" s="56"/>
      <c r="K87" s="56"/>
      <c r="L87" s="56"/>
      <c r="M87" s="56"/>
      <c r="N87" s="56"/>
      <c r="O87" s="56"/>
      <c r="P87" s="56"/>
      <c r="Q87" s="56"/>
      <c r="R87" s="56"/>
      <c r="S87" s="249"/>
      <c r="T87" s="250"/>
      <c r="U87" s="251">
        <f>IF(Dir.Area="",1,0)</f>
        <v>1</v>
      </c>
      <c r="V87" s="250"/>
      <c r="W87" s="250"/>
      <c r="X87" s="249"/>
      <c r="Y87" s="57"/>
      <c r="AJ87" s="58"/>
    </row>
    <row r="88" spans="1:36" s="59" customFormat="1" ht="15.6" customHeight="1" x14ac:dyDescent="0.3">
      <c r="A88" s="91"/>
      <c r="B88" s="92"/>
      <c r="C88" s="45"/>
      <c r="D88" s="45"/>
      <c r="E88" s="45"/>
      <c r="F88" s="56"/>
      <c r="G88" s="56"/>
      <c r="H88" s="56"/>
      <c r="I88" s="56"/>
      <c r="J88" s="56"/>
      <c r="K88" s="56"/>
      <c r="L88" s="56"/>
      <c r="M88" s="56"/>
      <c r="N88" s="56"/>
      <c r="O88" s="56"/>
      <c r="P88" s="56"/>
      <c r="Q88" s="56"/>
      <c r="R88" s="56"/>
      <c r="S88" s="249"/>
      <c r="T88" s="250"/>
      <c r="U88" s="251">
        <f>IF(CodirNom="",1,0)</f>
        <v>1</v>
      </c>
      <c r="V88" s="250" t="s">
        <v>350</v>
      </c>
      <c r="W88" s="250">
        <f>ABS(U89-U88)+ABS(U90-U88)+ABS(U91-U88)+ABS(U98-U88)</f>
        <v>0</v>
      </c>
      <c r="X88" s="249"/>
      <c r="Y88" s="57"/>
    </row>
    <row r="89" spans="1:36" s="59" customFormat="1" ht="15.6" customHeight="1" x14ac:dyDescent="0.3">
      <c r="A89" s="63" t="s">
        <v>89</v>
      </c>
      <c r="B89" s="303"/>
      <c r="C89" s="303"/>
      <c r="D89" s="93" t="s">
        <v>85</v>
      </c>
      <c r="E89" s="28"/>
      <c r="F89" s="56"/>
      <c r="G89" s="56"/>
      <c r="H89" s="56"/>
      <c r="I89" s="56"/>
      <c r="J89" s="56"/>
      <c r="K89" s="56"/>
      <c r="L89" s="56"/>
      <c r="M89" s="56"/>
      <c r="N89" s="56"/>
      <c r="O89" s="56"/>
      <c r="P89" s="56"/>
      <c r="Q89" s="56"/>
      <c r="R89" s="56"/>
      <c r="S89" s="249"/>
      <c r="T89" s="250"/>
      <c r="U89" s="251">
        <f>IF(Codir.Email="",1,0)</f>
        <v>1</v>
      </c>
      <c r="V89" s="250"/>
      <c r="W89" s="250"/>
      <c r="X89" s="249"/>
      <c r="Y89" s="57"/>
    </row>
    <row r="90" spans="1:36" s="59" customFormat="1" ht="15.6" customHeight="1" x14ac:dyDescent="0.3">
      <c r="A90" s="63" t="s">
        <v>87</v>
      </c>
      <c r="B90" s="27"/>
      <c r="C90" s="70" t="s">
        <v>90</v>
      </c>
      <c r="D90" s="304"/>
      <c r="E90" s="305"/>
      <c r="F90" s="56"/>
      <c r="G90" s="56"/>
      <c r="H90" s="56"/>
      <c r="I90" s="56"/>
      <c r="J90" s="56"/>
      <c r="K90" s="56"/>
      <c r="L90" s="56"/>
      <c r="M90" s="56"/>
      <c r="N90" s="56"/>
      <c r="O90" s="56"/>
      <c r="P90" s="56"/>
      <c r="Q90" s="56"/>
      <c r="R90" s="56"/>
      <c r="S90" s="249"/>
      <c r="T90" s="250"/>
      <c r="U90" s="251">
        <f>IF(Codir.Tel="",1,0)</f>
        <v>1</v>
      </c>
      <c r="V90" s="250"/>
      <c r="W90" s="250"/>
      <c r="X90" s="249"/>
      <c r="Y90" s="57"/>
    </row>
    <row r="91" spans="1:36" s="59" customFormat="1" ht="15.6" customHeight="1" x14ac:dyDescent="0.3">
      <c r="A91" s="63" t="s">
        <v>103</v>
      </c>
      <c r="B91" s="290"/>
      <c r="C91" s="291"/>
      <c r="D91" s="291"/>
      <c r="E91" s="292"/>
      <c r="F91" s="56"/>
      <c r="G91" s="56"/>
      <c r="H91" s="56"/>
      <c r="I91" s="56"/>
      <c r="J91" s="56"/>
      <c r="K91" s="56"/>
      <c r="L91" s="56"/>
      <c r="M91" s="56"/>
      <c r="N91" s="56"/>
      <c r="O91" s="56"/>
      <c r="P91" s="56"/>
      <c r="Q91" s="56"/>
      <c r="R91" s="56"/>
      <c r="S91" s="249"/>
      <c r="T91" s="250"/>
      <c r="U91" s="251">
        <f>IF(Codir.DNI="",1,0)</f>
        <v>1</v>
      </c>
      <c r="V91" s="250"/>
      <c r="W91" s="250"/>
      <c r="X91" s="249"/>
      <c r="Y91" s="57"/>
      <c r="AJ91" s="58"/>
    </row>
    <row r="92" spans="1:36" s="59" customFormat="1" ht="15.6" customHeight="1" x14ac:dyDescent="0.3">
      <c r="A92" s="61"/>
      <c r="B92" s="74"/>
      <c r="C92" s="74"/>
      <c r="D92" s="74"/>
      <c r="E92" s="74"/>
      <c r="F92" s="56"/>
      <c r="G92" s="56"/>
      <c r="H92" s="56"/>
      <c r="I92" s="56"/>
      <c r="J92" s="56"/>
      <c r="K92" s="56"/>
      <c r="L92" s="56"/>
      <c r="M92" s="56"/>
      <c r="N92" s="56"/>
      <c r="O92" s="56"/>
      <c r="P92" s="56"/>
      <c r="Q92" s="56"/>
      <c r="R92" s="56"/>
      <c r="S92" s="249"/>
      <c r="T92" s="250"/>
      <c r="U92" s="251"/>
      <c r="V92" s="250"/>
      <c r="W92" s="250"/>
      <c r="X92" s="249"/>
      <c r="Y92" s="57"/>
      <c r="AJ92" s="58"/>
    </row>
    <row r="93" spans="1:36" s="59" customFormat="1" ht="15.6" customHeight="1" x14ac:dyDescent="0.3">
      <c r="A93" s="96" t="s">
        <v>50</v>
      </c>
      <c r="B93" s="91"/>
      <c r="C93" s="1"/>
      <c r="D93" s="74"/>
      <c r="E93" s="74"/>
      <c r="F93" s="56"/>
      <c r="G93" s="56"/>
      <c r="H93" s="56"/>
      <c r="I93" s="56"/>
      <c r="J93" s="56"/>
      <c r="K93" s="56"/>
      <c r="L93" s="56"/>
      <c r="M93" s="56"/>
      <c r="N93" s="56"/>
      <c r="O93" s="56"/>
      <c r="P93" s="56"/>
      <c r="Q93" s="56"/>
      <c r="R93" s="56"/>
      <c r="S93" s="249"/>
      <c r="T93" s="250"/>
      <c r="U93" s="251"/>
      <c r="V93" s="250"/>
      <c r="W93" s="250"/>
      <c r="X93" s="249"/>
      <c r="Y93" s="57"/>
      <c r="AJ93" s="58"/>
    </row>
    <row r="94" spans="1:36" s="59" customFormat="1" ht="15.6" customHeight="1" x14ac:dyDescent="0.3">
      <c r="A94" s="63" t="s">
        <v>461</v>
      </c>
      <c r="B94" s="290"/>
      <c r="C94" s="292"/>
      <c r="D94" s="74"/>
      <c r="E94" s="74"/>
      <c r="F94" s="56"/>
      <c r="G94" s="56"/>
      <c r="H94" s="56"/>
      <c r="I94" s="56"/>
      <c r="J94" s="56"/>
      <c r="K94" s="56"/>
      <c r="L94" s="56"/>
      <c r="M94" s="56"/>
      <c r="N94" s="56"/>
      <c r="O94" s="56"/>
      <c r="P94" s="56"/>
      <c r="Q94" s="56"/>
      <c r="R94" s="56"/>
      <c r="S94" s="249"/>
      <c r="T94" s="250"/>
      <c r="U94" s="251"/>
      <c r="V94" s="250"/>
      <c r="W94" s="250"/>
      <c r="X94" s="249"/>
      <c r="Y94" s="57"/>
      <c r="AJ94" s="58"/>
    </row>
    <row r="95" spans="1:36" s="59" customFormat="1" ht="15.6" customHeight="1" x14ac:dyDescent="0.3">
      <c r="A95" s="84" t="s">
        <v>360</v>
      </c>
      <c r="B95" s="40"/>
      <c r="C95" s="45"/>
      <c r="D95" s="74"/>
      <c r="E95" s="74"/>
      <c r="F95" s="56"/>
      <c r="G95" s="56"/>
      <c r="H95" s="56"/>
      <c r="I95" s="56"/>
      <c r="J95" s="56"/>
      <c r="K95" s="56"/>
      <c r="L95" s="56"/>
      <c r="M95" s="56"/>
      <c r="N95" s="56"/>
      <c r="O95" s="56"/>
      <c r="P95" s="56"/>
      <c r="Q95" s="56"/>
      <c r="R95" s="56"/>
      <c r="S95" s="249"/>
      <c r="T95" s="250"/>
      <c r="U95" s="251"/>
      <c r="V95" s="250"/>
      <c r="W95" s="250"/>
      <c r="X95" s="249"/>
      <c r="Y95" s="57"/>
      <c r="AJ95" s="58"/>
    </row>
    <row r="96" spans="1:36" s="59" customFormat="1" ht="15.6" customHeight="1" x14ac:dyDescent="0.3">
      <c r="A96" s="61"/>
      <c r="B96" s="74"/>
      <c r="C96" s="74"/>
      <c r="D96" s="74"/>
      <c r="E96" s="74"/>
      <c r="F96" s="56"/>
      <c r="G96" s="56"/>
      <c r="H96" s="56"/>
      <c r="I96" s="56"/>
      <c r="J96" s="56"/>
      <c r="K96" s="56"/>
      <c r="L96" s="56"/>
      <c r="M96" s="56"/>
      <c r="N96" s="56"/>
      <c r="O96" s="56"/>
      <c r="P96" s="56"/>
      <c r="Q96" s="56"/>
      <c r="R96" s="56"/>
      <c r="S96" s="249"/>
      <c r="T96" s="250"/>
      <c r="U96" s="251"/>
      <c r="V96" s="250"/>
      <c r="W96" s="250"/>
      <c r="X96" s="249"/>
      <c r="Y96" s="57"/>
      <c r="AJ96" s="58"/>
    </row>
    <row r="97" spans="1:36" s="59" customFormat="1" ht="15.6" customHeight="1" x14ac:dyDescent="0.3">
      <c r="A97" s="279" t="s">
        <v>445</v>
      </c>
      <c r="B97" s="279"/>
      <c r="C97" s="279"/>
      <c r="D97" s="279"/>
      <c r="E97" s="279"/>
      <c r="F97" s="56"/>
      <c r="G97" s="56"/>
      <c r="H97" s="56"/>
      <c r="I97" s="56"/>
      <c r="J97" s="56"/>
      <c r="K97" s="56"/>
      <c r="L97" s="56"/>
      <c r="M97" s="56"/>
      <c r="N97" s="56"/>
      <c r="O97" s="56"/>
      <c r="P97" s="56"/>
      <c r="Q97" s="56"/>
      <c r="R97" s="56"/>
      <c r="S97" s="249"/>
      <c r="T97" s="250"/>
      <c r="U97" s="251"/>
      <c r="V97" s="250"/>
      <c r="W97" s="250"/>
      <c r="X97" s="249"/>
      <c r="Y97" s="57"/>
      <c r="AJ97" s="58"/>
    </row>
    <row r="98" spans="1:36" s="59" customFormat="1" ht="15.6" customHeight="1" x14ac:dyDescent="0.3">
      <c r="A98" s="61"/>
      <c r="B98" s="74"/>
      <c r="C98" s="71"/>
      <c r="D98" s="97"/>
      <c r="E98" s="63"/>
      <c r="F98" s="56"/>
      <c r="G98" s="56"/>
      <c r="H98" s="56"/>
      <c r="I98" s="56"/>
      <c r="J98" s="56"/>
      <c r="K98" s="56"/>
      <c r="L98" s="56"/>
      <c r="M98" s="56"/>
      <c r="N98" s="56"/>
      <c r="O98" s="56"/>
      <c r="P98" s="56"/>
      <c r="Q98" s="56"/>
      <c r="R98" s="56"/>
      <c r="S98" s="249"/>
      <c r="T98" s="250"/>
      <c r="U98" s="251">
        <f>IF(Codir.Entidad="",1,0)</f>
        <v>1</v>
      </c>
      <c r="V98" s="250"/>
      <c r="W98" s="250"/>
      <c r="X98" s="249"/>
      <c r="Y98" s="57"/>
    </row>
    <row r="99" spans="1:36" s="59" customFormat="1" ht="15.6" customHeight="1" x14ac:dyDescent="0.3">
      <c r="A99" s="65" t="s">
        <v>441</v>
      </c>
      <c r="B99" s="277"/>
      <c r="C99" s="307"/>
      <c r="D99" s="307"/>
      <c r="E99" s="278"/>
      <c r="F99" s="56"/>
      <c r="G99" s="56"/>
      <c r="H99" s="56"/>
      <c r="I99" s="56"/>
      <c r="J99" s="56"/>
      <c r="K99" s="56"/>
      <c r="L99" s="56"/>
      <c r="M99" s="56"/>
      <c r="N99" s="56"/>
      <c r="O99" s="56"/>
      <c r="P99" s="56"/>
      <c r="Q99" s="56"/>
      <c r="R99" s="56"/>
      <c r="S99" s="249"/>
      <c r="T99" s="250"/>
      <c r="U99" s="251">
        <f>IF(Lugar="",1,0)</f>
        <v>1</v>
      </c>
      <c r="V99" s="250" t="s">
        <v>358</v>
      </c>
      <c r="W99" s="250">
        <f>SUM(U99:U103)</f>
        <v>3</v>
      </c>
      <c r="X99" s="249"/>
      <c r="Y99" s="57"/>
    </row>
    <row r="100" spans="1:36" s="59" customFormat="1" ht="15.6" customHeight="1" x14ac:dyDescent="0.3">
      <c r="B100" s="98"/>
      <c r="C100" s="54"/>
      <c r="D100" s="98"/>
      <c r="E100" s="1"/>
      <c r="F100" s="56"/>
      <c r="G100" s="56"/>
      <c r="H100" s="56"/>
      <c r="I100" s="56"/>
      <c r="J100" s="56"/>
      <c r="K100" s="56"/>
      <c r="L100" s="56"/>
      <c r="M100" s="56"/>
      <c r="N100" s="56"/>
      <c r="O100" s="56"/>
      <c r="P100" s="56"/>
      <c r="Q100" s="56"/>
      <c r="R100" s="56"/>
      <c r="S100" s="249"/>
      <c r="T100" s="250"/>
      <c r="U100" s="251"/>
      <c r="V100" s="250"/>
      <c r="W100" s="250"/>
      <c r="X100" s="249"/>
      <c r="Y100" s="57"/>
    </row>
    <row r="101" spans="1:36" s="59" customFormat="1" ht="15.6" customHeight="1" x14ac:dyDescent="0.3">
      <c r="A101" s="65" t="s">
        <v>70</v>
      </c>
      <c r="B101" s="277"/>
      <c r="C101" s="307"/>
      <c r="D101" s="307"/>
      <c r="E101" s="278"/>
      <c r="F101" s="56"/>
      <c r="G101" s="56"/>
      <c r="H101" s="56"/>
      <c r="I101" s="56"/>
      <c r="J101" s="56"/>
      <c r="K101" s="56"/>
      <c r="L101" s="56"/>
      <c r="M101" s="56"/>
      <c r="N101" s="56"/>
      <c r="O101" s="56"/>
      <c r="P101" s="56"/>
      <c r="Q101" s="56"/>
      <c r="R101" s="56"/>
      <c r="S101" s="249"/>
      <c r="T101" s="250"/>
      <c r="U101" s="251">
        <f>IF(PlatVirtual="",1,0)</f>
        <v>1</v>
      </c>
      <c r="V101" s="250"/>
      <c r="W101" s="250"/>
      <c r="X101" s="249"/>
      <c r="Y101" s="57"/>
    </row>
    <row r="102" spans="1:36" s="59" customFormat="1" ht="15.6" customHeight="1" x14ac:dyDescent="0.3">
      <c r="B102" s="98"/>
      <c r="C102" s="54"/>
      <c r="D102" s="98"/>
      <c r="E102" s="1"/>
      <c r="F102" s="56"/>
      <c r="G102" s="56"/>
      <c r="H102" s="56"/>
      <c r="I102" s="56"/>
      <c r="J102" s="56"/>
      <c r="K102" s="56"/>
      <c r="L102" s="56"/>
      <c r="M102" s="56"/>
      <c r="N102" s="56"/>
      <c r="O102" s="56"/>
      <c r="P102" s="56"/>
      <c r="Q102" s="56"/>
      <c r="R102" s="56"/>
      <c r="S102" s="249"/>
      <c r="T102" s="250"/>
      <c r="U102" s="251"/>
      <c r="V102" s="250"/>
      <c r="W102" s="250"/>
      <c r="X102" s="249"/>
      <c r="Y102" s="57"/>
    </row>
    <row r="103" spans="1:36" s="59" customFormat="1" ht="15.6" customHeight="1" x14ac:dyDescent="0.3">
      <c r="A103" s="65" t="s">
        <v>669</v>
      </c>
      <c r="B103" s="277"/>
      <c r="C103" s="307"/>
      <c r="D103" s="307"/>
      <c r="E103" s="278"/>
      <c r="F103" s="56"/>
      <c r="G103" s="56"/>
      <c r="H103" s="56"/>
      <c r="I103" s="56"/>
      <c r="J103" s="56"/>
      <c r="K103" s="56"/>
      <c r="L103" s="56"/>
      <c r="M103" s="56"/>
      <c r="N103" s="56"/>
      <c r="O103" s="56"/>
      <c r="P103" s="56"/>
      <c r="Q103" s="56"/>
      <c r="R103" s="56"/>
      <c r="S103" s="249"/>
      <c r="T103" s="250"/>
      <c r="U103" s="251">
        <f>IF(Horario="",1,0)</f>
        <v>1</v>
      </c>
      <c r="V103" s="250"/>
      <c r="W103" s="250"/>
      <c r="X103" s="249"/>
      <c r="Y103" s="57"/>
    </row>
    <row r="104" spans="1:36" s="59" customFormat="1" ht="15.6" customHeight="1" x14ac:dyDescent="0.3">
      <c r="A104" s="91"/>
      <c r="B104" s="92"/>
      <c r="C104" s="45"/>
      <c r="D104" s="45"/>
      <c r="E104" s="45"/>
      <c r="F104" s="56"/>
      <c r="G104" s="56"/>
      <c r="H104" s="56"/>
      <c r="I104" s="56"/>
      <c r="J104" s="56"/>
      <c r="K104" s="56"/>
      <c r="L104" s="56"/>
      <c r="M104" s="56"/>
      <c r="N104" s="56"/>
      <c r="O104" s="56"/>
      <c r="P104" s="56"/>
      <c r="Q104" s="56"/>
      <c r="R104" s="56"/>
      <c r="S104" s="249"/>
      <c r="T104" s="250"/>
      <c r="U104" s="251"/>
      <c r="V104" s="250"/>
      <c r="W104" s="250"/>
      <c r="X104" s="249"/>
      <c r="Y104" s="57"/>
    </row>
    <row r="105" spans="1:36" s="59" customFormat="1" ht="15.6" customHeight="1" x14ac:dyDescent="0.3">
      <c r="A105" s="88" t="s">
        <v>448</v>
      </c>
      <c r="B105" s="109"/>
      <c r="C105" s="99" t="s">
        <v>44</v>
      </c>
      <c r="D105" s="109"/>
      <c r="E105" s="45"/>
      <c r="F105" s="56"/>
      <c r="G105" s="56"/>
      <c r="H105" s="56"/>
      <c r="I105" s="56"/>
      <c r="J105" s="56"/>
      <c r="K105" s="56"/>
      <c r="L105" s="56"/>
      <c r="M105" s="56"/>
      <c r="N105" s="56"/>
      <c r="O105" s="56"/>
      <c r="P105" s="56"/>
      <c r="Q105" s="56"/>
      <c r="R105" s="56"/>
      <c r="S105" s="249"/>
      <c r="T105" s="250"/>
      <c r="U105" s="251">
        <f>IF(Preins.Ini="",1,0)+IF(Preins.Fin="",1,0)</f>
        <v>2</v>
      </c>
      <c r="V105" s="250" t="s">
        <v>359</v>
      </c>
      <c r="W105" s="250">
        <f>SUM(U105:U107)</f>
        <v>6</v>
      </c>
      <c r="X105" s="249"/>
      <c r="Y105" s="57"/>
    </row>
    <row r="106" spans="1:36" s="59" customFormat="1" ht="15.6" customHeight="1" x14ac:dyDescent="0.3">
      <c r="A106" s="88" t="s">
        <v>449</v>
      </c>
      <c r="B106" s="109"/>
      <c r="C106" s="99" t="s">
        <v>44</v>
      </c>
      <c r="D106" s="109"/>
      <c r="E106" s="45"/>
      <c r="F106" s="56"/>
      <c r="G106" s="56"/>
      <c r="H106" s="56"/>
      <c r="I106" s="56"/>
      <c r="J106" s="56"/>
      <c r="K106" s="56"/>
      <c r="L106" s="56"/>
      <c r="M106" s="56"/>
      <c r="N106" s="56"/>
      <c r="O106" s="56"/>
      <c r="P106" s="56"/>
      <c r="Q106" s="56"/>
      <c r="R106" s="56"/>
      <c r="S106" s="249"/>
      <c r="T106" s="250"/>
      <c r="U106" s="251">
        <f>IF(Matric.Ini="",1,0)+IF(Matric.Fin="",1,0)</f>
        <v>2</v>
      </c>
      <c r="V106" s="250"/>
      <c r="W106" s="250"/>
      <c r="X106" s="249"/>
      <c r="Y106" s="57"/>
    </row>
    <row r="107" spans="1:36" s="59" customFormat="1" ht="15.6" customHeight="1" x14ac:dyDescent="0.3">
      <c r="A107" s="88" t="s">
        <v>450</v>
      </c>
      <c r="B107" s="109"/>
      <c r="C107" s="99" t="s">
        <v>44</v>
      </c>
      <c r="D107" s="109"/>
      <c r="E107" s="45"/>
      <c r="F107" s="56"/>
      <c r="G107" s="56"/>
      <c r="H107" s="56"/>
      <c r="I107" s="56"/>
      <c r="J107" s="56"/>
      <c r="K107" s="56"/>
      <c r="L107" s="56"/>
      <c r="M107" s="56"/>
      <c r="N107" s="56"/>
      <c r="O107" s="56"/>
      <c r="P107" s="56"/>
      <c r="Q107" s="56"/>
      <c r="R107" s="56"/>
      <c r="S107" s="249"/>
      <c r="T107" s="250"/>
      <c r="U107" s="251">
        <f>IF(Impart.Ini="",1,0)+IF(Impart.Fin="",1,0)</f>
        <v>2</v>
      </c>
      <c r="V107" s="250"/>
      <c r="W107" s="250"/>
      <c r="X107" s="249"/>
      <c r="Y107" s="57"/>
    </row>
    <row r="108" spans="1:36" s="59" customFormat="1" ht="15.6" customHeight="1" x14ac:dyDescent="0.3">
      <c r="B108" s="98"/>
      <c r="C108" s="54"/>
      <c r="D108" s="98"/>
      <c r="E108" s="1"/>
      <c r="F108" s="56"/>
      <c r="G108" s="56"/>
      <c r="H108" s="56"/>
      <c r="I108" s="56"/>
      <c r="J108" s="56"/>
      <c r="K108" s="56"/>
      <c r="L108" s="56"/>
      <c r="M108" s="56"/>
      <c r="N108" s="56"/>
      <c r="O108" s="56"/>
      <c r="P108" s="56"/>
      <c r="Q108" s="56"/>
      <c r="R108" s="56"/>
      <c r="S108" s="249"/>
      <c r="T108" s="250"/>
      <c r="U108" s="251"/>
      <c r="V108" s="250"/>
      <c r="W108" s="250"/>
      <c r="X108" s="249"/>
      <c r="Y108" s="57"/>
    </row>
    <row r="109" spans="1:36" ht="15.6" customHeight="1" x14ac:dyDescent="0.3">
      <c r="A109" s="90"/>
      <c r="D109" s="100"/>
    </row>
    <row r="110" spans="1:36" s="86" customFormat="1" ht="15.6" customHeight="1" x14ac:dyDescent="0.3">
      <c r="A110" s="2" t="s">
        <v>11</v>
      </c>
      <c r="C110" s="2" t="s">
        <v>47</v>
      </c>
      <c r="D110" s="2"/>
      <c r="E110" s="2"/>
      <c r="F110" s="101"/>
      <c r="G110" s="101"/>
      <c r="H110" s="101"/>
      <c r="I110" s="101"/>
      <c r="J110" s="101"/>
      <c r="K110" s="101"/>
      <c r="L110" s="101"/>
      <c r="M110" s="101"/>
      <c r="N110" s="101"/>
      <c r="O110" s="101"/>
      <c r="P110" s="101"/>
      <c r="Q110" s="101"/>
      <c r="R110" s="101"/>
      <c r="S110" s="252"/>
      <c r="T110" s="246"/>
      <c r="U110" s="246"/>
      <c r="V110" s="246"/>
      <c r="W110" s="246"/>
      <c r="X110" s="252"/>
      <c r="Y110" s="92"/>
    </row>
    <row r="111" spans="1:36" ht="15.6" customHeight="1" x14ac:dyDescent="0.3"/>
    <row r="112" spans="1:36" ht="15.6" customHeight="1" x14ac:dyDescent="0.3"/>
    <row r="113" spans="1:20" ht="15.6" customHeight="1" x14ac:dyDescent="0.3"/>
    <row r="114" spans="1:20" ht="15.6" customHeight="1" x14ac:dyDescent="0.3"/>
    <row r="115" spans="1:20" ht="15.6" customHeight="1" x14ac:dyDescent="0.3"/>
    <row r="116" spans="1:20" ht="15.6" customHeight="1" x14ac:dyDescent="0.3"/>
    <row r="117" spans="1:20" ht="15.6" customHeight="1" x14ac:dyDescent="0.3">
      <c r="A117" s="297" t="s">
        <v>12</v>
      </c>
      <c r="B117" s="297"/>
      <c r="C117" s="297" t="s">
        <v>12</v>
      </c>
      <c r="D117" s="297"/>
      <c r="E117" s="297"/>
    </row>
    <row r="118" spans="1:20" ht="15.6" customHeight="1" x14ac:dyDescent="0.3">
      <c r="A118" s="299" t="str">
        <f>IF(DirNombre="","",DirNombre)</f>
        <v/>
      </c>
      <c r="B118" s="299"/>
      <c r="C118" s="300" t="str">
        <f>IF(CodirNom="","",CodirNom)</f>
        <v/>
      </c>
      <c r="D118" s="300"/>
      <c r="E118" s="300"/>
      <c r="F118" s="102"/>
      <c r="G118" s="102"/>
      <c r="H118" s="102"/>
      <c r="I118" s="102"/>
      <c r="J118" s="102"/>
      <c r="K118" s="102"/>
      <c r="L118" s="102"/>
      <c r="M118" s="102"/>
      <c r="N118" s="102"/>
      <c r="O118" s="102"/>
      <c r="P118" s="102"/>
      <c r="Q118" s="102"/>
      <c r="R118" s="102"/>
      <c r="S118" s="253"/>
      <c r="T118" s="254"/>
    </row>
    <row r="119" spans="1:20" ht="15.6" customHeight="1" x14ac:dyDescent="0.3">
      <c r="A119" s="95"/>
      <c r="B119" s="95"/>
      <c r="C119" s="103"/>
      <c r="D119" s="103"/>
      <c r="E119" s="103"/>
      <c r="F119" s="102"/>
      <c r="G119" s="102"/>
      <c r="H119" s="102"/>
      <c r="I119" s="102"/>
      <c r="J119" s="102"/>
      <c r="K119" s="102"/>
      <c r="L119" s="102"/>
      <c r="M119" s="102"/>
      <c r="N119" s="102"/>
      <c r="O119" s="102"/>
      <c r="P119" s="102"/>
      <c r="Q119" s="102"/>
      <c r="R119" s="102"/>
      <c r="S119" s="253"/>
      <c r="T119" s="254"/>
    </row>
    <row r="120" spans="1:20" ht="15.6" customHeight="1" x14ac:dyDescent="0.3">
      <c r="A120" s="293" t="s">
        <v>668</v>
      </c>
      <c r="B120" s="293"/>
      <c r="C120" s="293"/>
      <c r="D120" s="293"/>
      <c r="E120" s="293"/>
    </row>
    <row r="121" spans="1:20" ht="15.6" customHeight="1" x14ac:dyDescent="0.3"/>
    <row r="122" spans="1:20" ht="15.6" customHeight="1" x14ac:dyDescent="0.3">
      <c r="A122" s="104" t="s">
        <v>667</v>
      </c>
      <c r="B122" s="108" t="b">
        <v>0</v>
      </c>
      <c r="C122" s="2" t="s">
        <v>758</v>
      </c>
      <c r="D122" s="2"/>
      <c r="E122" s="2"/>
    </row>
    <row r="123" spans="1:20" ht="15.6" customHeight="1" x14ac:dyDescent="0.3"/>
    <row r="124" spans="1:20" ht="15.6" customHeight="1" x14ac:dyDescent="0.3">
      <c r="C124" s="294" t="s">
        <v>12</v>
      </c>
      <c r="D124" s="295"/>
      <c r="E124" s="296"/>
    </row>
    <row r="125" spans="1:20" ht="15.6" customHeight="1" x14ac:dyDescent="0.3">
      <c r="C125" s="290" t="s">
        <v>13</v>
      </c>
      <c r="D125" s="291"/>
      <c r="E125" s="292"/>
    </row>
    <row r="126" spans="1:20" ht="15.6" customHeight="1" x14ac:dyDescent="0.3"/>
    <row r="127" spans="1:20" ht="15.6" customHeight="1" x14ac:dyDescent="0.3"/>
    <row r="128" spans="1:20" ht="15.6" customHeight="1" x14ac:dyDescent="0.3"/>
    <row r="129" spans="1:5" ht="15.6" customHeight="1" x14ac:dyDescent="0.3">
      <c r="A129" s="105" t="s">
        <v>1</v>
      </c>
      <c r="B129" s="106"/>
      <c r="C129" s="106"/>
      <c r="D129" s="106"/>
    </row>
    <row r="130" spans="1:5" ht="15.6" customHeight="1" x14ac:dyDescent="0.3">
      <c r="A130" s="107" t="s">
        <v>2</v>
      </c>
      <c r="B130" s="48"/>
    </row>
    <row r="131" spans="1:5" ht="15.6" customHeight="1" x14ac:dyDescent="0.3">
      <c r="A131" s="107" t="s">
        <v>48</v>
      </c>
      <c r="B131" s="48"/>
    </row>
    <row r="132" spans="1:5" ht="15.6" customHeight="1" x14ac:dyDescent="0.3">
      <c r="A132" s="107" t="s">
        <v>49</v>
      </c>
      <c r="B132" s="48"/>
    </row>
    <row r="133" spans="1:5" ht="15.6" customHeight="1" x14ac:dyDescent="0.3">
      <c r="A133" s="107" t="s">
        <v>3</v>
      </c>
      <c r="B133" s="48"/>
    </row>
    <row r="134" spans="1:5" ht="15.6" customHeight="1" x14ac:dyDescent="0.3"/>
    <row r="135" spans="1:5" x14ac:dyDescent="0.3">
      <c r="A135" s="4"/>
      <c r="B135" s="298"/>
      <c r="C135" s="298"/>
      <c r="D135" s="4"/>
      <c r="E135" s="4"/>
    </row>
  </sheetData>
  <sheetProtection algorithmName="SHA-512" hashValue="4NXwEHSAWScRyJQU7rz0oSkMxDShm6jiwb/UFES5A/ej/NABvbcUFwHs1oF/dZBZvJtxK7JEyqxJFmkbRYCsbA==" saltValue="MMgui1wFngD08Q6z0u49NQ==" spinCount="100000" sheet="1" objects="1" scenarios="1" selectLockedCells="1"/>
  <mergeCells count="52">
    <mergeCell ref="D2:E2"/>
    <mergeCell ref="B87:C87"/>
    <mergeCell ref="A10:E10"/>
    <mergeCell ref="B12:E12"/>
    <mergeCell ref="B72:E72"/>
    <mergeCell ref="A46:E46"/>
    <mergeCell ref="A59:E59"/>
    <mergeCell ref="A64:E64"/>
    <mergeCell ref="A65:E65"/>
    <mergeCell ref="B49:C49"/>
    <mergeCell ref="B50:C50"/>
    <mergeCell ref="B14:E14"/>
    <mergeCell ref="A82:E82"/>
    <mergeCell ref="C70:E70"/>
    <mergeCell ref="A61:E61"/>
    <mergeCell ref="B28:D28"/>
    <mergeCell ref="B135:C135"/>
    <mergeCell ref="A118:B118"/>
    <mergeCell ref="C118:E118"/>
    <mergeCell ref="A42:E42"/>
    <mergeCell ref="A43:E43"/>
    <mergeCell ref="A45:E45"/>
    <mergeCell ref="A58:E58"/>
    <mergeCell ref="B89:C89"/>
    <mergeCell ref="D90:E90"/>
    <mergeCell ref="B84:C84"/>
    <mergeCell ref="D85:E85"/>
    <mergeCell ref="B86:C86"/>
    <mergeCell ref="B91:E91"/>
    <mergeCell ref="B99:E99"/>
    <mergeCell ref="B101:E101"/>
    <mergeCell ref="B103:E103"/>
    <mergeCell ref="C125:E125"/>
    <mergeCell ref="A120:E120"/>
    <mergeCell ref="C124:E124"/>
    <mergeCell ref="B94:C94"/>
    <mergeCell ref="A117:B117"/>
    <mergeCell ref="C117:E117"/>
    <mergeCell ref="A97:E97"/>
    <mergeCell ref="B80:C80"/>
    <mergeCell ref="A75:B75"/>
    <mergeCell ref="C75:E75"/>
    <mergeCell ref="C56:D56"/>
    <mergeCell ref="A70:B70"/>
    <mergeCell ref="A62:E62"/>
    <mergeCell ref="D48:E48"/>
    <mergeCell ref="D69:E69"/>
    <mergeCell ref="B78:C78"/>
    <mergeCell ref="B79:C79"/>
    <mergeCell ref="B52:C52"/>
    <mergeCell ref="A54:E54"/>
    <mergeCell ref="A67:E67"/>
  </mergeCells>
  <conditionalFormatting sqref="C70 C75:C76 D77:D80">
    <cfRule type="cellIs" dxfId="12" priority="3" operator="equal">
      <formula>"N/A"</formula>
    </cfRule>
  </conditionalFormatting>
  <dataValidations count="14">
    <dataValidation type="textLength" operator="lessThanOrEqual" allowBlank="1" showInputMessage="1" showErrorMessage="1" error="La denominación del título no puede exceder de 100 caracteres." sqref="B12:E14" xr:uid="{7B76BCC1-1A29-4C14-A930-55F010DC4855}">
      <formula1>100</formula1>
    </dataValidation>
    <dataValidation type="textLength" operator="lessThanOrEqual" allowBlank="1" showInputMessage="1" showErrorMessage="1" error="El máximo número de caracteres de la URL es 65" sqref="B72:E73 C69 B52:B53 C53:E53" xr:uid="{BA4045B9-EF86-4751-B2A0-F5283B147B66}">
      <formula1>60</formula1>
    </dataValidation>
    <dataValidation type="list" allowBlank="1" showInputMessage="1" showErrorMessage="1" sqref="B18" xr:uid="{6AE5FA0A-A7D6-4776-861D-861EE1D95F0A}">
      <formula1>"Español,Inglés"</formula1>
    </dataValidation>
    <dataValidation type="list" allowBlank="1" showInputMessage="1" showErrorMessage="1" sqref="E16" xr:uid="{7DB189D7-6DD0-43B0-B1D7-8B233DEBB438}">
      <formula1>"2024-25,2025-26"</formula1>
    </dataValidation>
    <dataValidation type="list" allowBlank="1" showInputMessage="1" showErrorMessage="1" sqref="B42:C47 B64:C65 B58:C59 B61:C62" xr:uid="{621BAD70-67D4-413D-8361-86716C0B132A}">
      <formula1>"1,2,3,4,5,6,7,8"</formula1>
    </dataValidation>
    <dataValidation type="textLength" operator="lessThanOrEqual" allowBlank="1" showInputMessage="1" showErrorMessage="1" error="El texto del resumen no puede exceder de 700 caracteres con espacios incluidos." sqref="D3 A48 A97 D49:D53 A43:E47 B55:E55 E51:E53 B49:B53 A82 C56 B122 E56 C68:E68 B68:B69 B74 A67:A68 A64:E65 B57:E59 A51:A59 A61:E62 C53 C51" xr:uid="{EE1FAF33-15D8-44C6-B574-A8C33F878390}">
      <formula1>700</formula1>
    </dataValidation>
    <dataValidation type="list" allowBlank="1" showInputMessage="1" showErrorMessage="1" sqref="B30" xr:uid="{99C97FB9-1BDD-4072-A9F0-002411B9450C}">
      <formula1>"Formal,No formal"</formula1>
    </dataValidation>
    <dataValidation type="list" allowBlank="1" showInputMessage="1" showErrorMessage="1" sqref="B56" xr:uid="{D71A3C20-CF9B-4225-8C85-B50B870BAE07}">
      <formula1>"No,Sí"</formula1>
    </dataValidation>
    <dataValidation type="decimal" allowBlank="1" showInputMessage="1" showErrorMessage="1" sqref="B32" xr:uid="{919454FF-451B-437C-B319-F0CCAA99EE01}">
      <formula1>0</formula1>
      <formula2>14</formula2>
    </dataValidation>
    <dataValidation type="whole" operator="greaterThanOrEqual" allowBlank="1" showInputMessage="1" showErrorMessage="1" sqref="E18" xr:uid="{50AB6821-6D17-437B-A955-13980C231D22}">
      <formula1>1</formula1>
    </dataValidation>
    <dataValidation type="date" allowBlank="1" showInputMessage="1" showErrorMessage="1" sqref="B105:B107 D105:D107" xr:uid="{437F214A-F30F-4CFE-86D9-291E39CA3DDE}">
      <formula1>45658</formula1>
      <formula2>46203</formula2>
    </dataValidation>
    <dataValidation type="decimal" allowBlank="1" showInputMessage="1" showErrorMessage="1" sqref="B34" xr:uid="{C22A5BCA-AE82-41D9-8FAD-2CF904F55EB7}">
      <formula1>0</formula1>
      <formula2>150</formula2>
    </dataValidation>
    <dataValidation type="whole" allowBlank="1" showInputMessage="1" showErrorMessage="1" sqref="B36" xr:uid="{169380D9-154D-437B-AF04-1C51A6EADFFC}">
      <formula1>0</formula1>
      <formula2>100</formula2>
    </dataValidation>
    <dataValidation type="whole" allowBlank="1" showInputMessage="1" showErrorMessage="1" sqref="B38" xr:uid="{ECF6A6F6-0528-400D-846C-C767C019561E}">
      <formula1>0</formula1>
      <formula2>B36</formula2>
    </dataValidation>
  </dataValidations>
  <pageMargins left="0.59055118110236227" right="0.59055118110236227" top="0.59055118110236227" bottom="0.59055118110236227" header="0.31496062992125984" footer="0.31496062992125984"/>
  <pageSetup paperSize="9" scale="73" fitToHeight="0" orientation="portrait" horizontalDpi="1200" verticalDpi="1200" r:id="rId1"/>
  <headerFooter>
    <oddFooter>&amp;L&amp;A&amp;C&amp;P de &amp;N&amp;R&amp;D&amp;T</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33F573B-F685-433E-B38B-FD38268DF524}">
          <x14:formula1>
            <xm:f>Listado!$A$20:$A$24</xm:f>
          </x14:formula1>
          <xm:sqref>B16</xm:sqref>
        </x14:dataValidation>
        <x14:dataValidation type="list" allowBlank="1" showInputMessage="1" showErrorMessage="1" xr:uid="{BCABB65E-14E0-498E-AD4D-4FF3A0D7B6FD}">
          <x14:formula1>
            <xm:f>Listado!$B$2:$B$82</xm:f>
          </x14:formula1>
          <xm:sqref>B26</xm:sqref>
        </x14:dataValidation>
        <x14:dataValidation type="list" allowBlank="1" showInputMessage="1" showErrorMessage="1" xr:uid="{EAACBB20-2B07-41F3-B39C-880B4B22935A}">
          <x14:formula1>
            <xm:f>Listado!$A$2:$A$9</xm:f>
          </x14:formula1>
          <xm:sqref>B28</xm:sqref>
        </x14:dataValidation>
        <x14:dataValidation type="list" allowBlank="1" showInputMessage="1" showErrorMessage="1" xr:uid="{6BF3A5EC-A33E-4D44-A0EA-ECC2659A1EFF}">
          <x14:formula1>
            <xm:f>Listado!$D$2:$D$194</xm:f>
          </x14:formula1>
          <xm:sqref>B87:C87</xm:sqref>
        </x14:dataValidation>
        <x14:dataValidation type="list" operator="lessThanOrEqual" allowBlank="1" showInputMessage="1" showErrorMessage="1" error="El máximo número de caracteres de la URL es 65" xr:uid="{7E567B2A-3E0E-47EC-8859-0CE1804AD170}">
          <x14:formula1>
            <xm:f>Listado!$C$2:$C$7</xm:f>
          </x14:formula1>
          <xm:sqref>D69:E69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F1A7-B00D-4E22-B5C4-2B8DBC5A6240}">
  <sheetPr codeName="Hoja2">
    <pageSetUpPr fitToPage="1"/>
  </sheetPr>
  <dimension ref="A1:N194"/>
  <sheetViews>
    <sheetView topLeftCell="D1" workbookViewId="0">
      <selection activeCell="D1" sqref="A1:XFD1048576"/>
    </sheetView>
  </sheetViews>
  <sheetFormatPr baseColWidth="10" defaultRowHeight="14.4" x14ac:dyDescent="0.3"/>
  <cols>
    <col min="1" max="1" width="80.5546875" bestFit="1" customWidth="1"/>
    <col min="2" max="2" width="59.6640625" bestFit="1" customWidth="1"/>
    <col min="3" max="4" width="59.6640625" customWidth="1"/>
    <col min="5" max="5" width="41.33203125" bestFit="1" customWidth="1"/>
  </cols>
  <sheetData>
    <row r="1" spans="1:14" s="32" customFormat="1" x14ac:dyDescent="0.3">
      <c r="A1" s="32" t="s">
        <v>197</v>
      </c>
      <c r="B1" s="32" t="s">
        <v>202</v>
      </c>
      <c r="C1" s="32" t="s">
        <v>433</v>
      </c>
      <c r="D1" s="32" t="s">
        <v>475</v>
      </c>
      <c r="E1" s="32" t="s">
        <v>327</v>
      </c>
      <c r="F1" s="32" t="s">
        <v>29</v>
      </c>
      <c r="I1" s="32" t="s">
        <v>199</v>
      </c>
      <c r="N1" s="32" t="s">
        <v>198</v>
      </c>
    </row>
    <row r="2" spans="1:14" x14ac:dyDescent="0.3">
      <c r="A2" t="s">
        <v>319</v>
      </c>
      <c r="B2" t="s">
        <v>203</v>
      </c>
      <c r="C2" t="s">
        <v>434</v>
      </c>
      <c r="D2" t="s">
        <v>476</v>
      </c>
      <c r="E2" s="32" t="s">
        <v>328</v>
      </c>
      <c r="F2" s="34" t="s">
        <v>200</v>
      </c>
      <c r="I2" t="s">
        <v>180</v>
      </c>
      <c r="N2" t="s">
        <v>182</v>
      </c>
    </row>
    <row r="3" spans="1:14" x14ac:dyDescent="0.3">
      <c r="A3" t="s">
        <v>320</v>
      </c>
      <c r="B3" t="s">
        <v>204</v>
      </c>
      <c r="C3" t="s">
        <v>435</v>
      </c>
      <c r="D3" t="s">
        <v>477</v>
      </c>
      <c r="E3" s="32" t="s">
        <v>329</v>
      </c>
      <c r="F3" s="34" t="s">
        <v>284</v>
      </c>
      <c r="I3" t="s">
        <v>181</v>
      </c>
      <c r="N3" t="s">
        <v>183</v>
      </c>
    </row>
    <row r="4" spans="1:14" x14ac:dyDescent="0.3">
      <c r="A4" t="s">
        <v>321</v>
      </c>
      <c r="B4" t="s">
        <v>205</v>
      </c>
      <c r="C4" t="s">
        <v>436</v>
      </c>
      <c r="D4" t="s">
        <v>478</v>
      </c>
      <c r="E4" s="32" t="s">
        <v>330</v>
      </c>
      <c r="F4" s="34" t="s">
        <v>285</v>
      </c>
      <c r="N4" t="s">
        <v>184</v>
      </c>
    </row>
    <row r="5" spans="1:14" x14ac:dyDescent="0.3">
      <c r="A5" t="s">
        <v>322</v>
      </c>
      <c r="B5" t="s">
        <v>206</v>
      </c>
      <c r="C5" t="s">
        <v>437</v>
      </c>
      <c r="D5" t="s">
        <v>479</v>
      </c>
      <c r="E5" s="32" t="s">
        <v>331</v>
      </c>
      <c r="F5" s="34" t="s">
        <v>286</v>
      </c>
      <c r="N5" t="s">
        <v>185</v>
      </c>
    </row>
    <row r="6" spans="1:14" x14ac:dyDescent="0.3">
      <c r="A6" t="s">
        <v>326</v>
      </c>
      <c r="B6" t="s">
        <v>207</v>
      </c>
      <c r="C6" t="s">
        <v>438</v>
      </c>
      <c r="D6" t="s">
        <v>480</v>
      </c>
      <c r="E6" s="32" t="s">
        <v>332</v>
      </c>
      <c r="F6" s="34" t="s">
        <v>287</v>
      </c>
      <c r="N6" t="s">
        <v>186</v>
      </c>
    </row>
    <row r="7" spans="1:14" x14ac:dyDescent="0.3">
      <c r="A7" t="s">
        <v>325</v>
      </c>
      <c r="B7" t="s">
        <v>208</v>
      </c>
      <c r="C7" t="s">
        <v>692</v>
      </c>
      <c r="D7" t="s">
        <v>481</v>
      </c>
      <c r="E7" s="32" t="s">
        <v>333</v>
      </c>
      <c r="F7" s="34" t="s">
        <v>288</v>
      </c>
      <c r="N7" t="s">
        <v>187</v>
      </c>
    </row>
    <row r="8" spans="1:14" x14ac:dyDescent="0.3">
      <c r="A8" t="s">
        <v>323</v>
      </c>
      <c r="B8" t="s">
        <v>209</v>
      </c>
      <c r="D8" t="s">
        <v>482</v>
      </c>
      <c r="E8" s="32" t="s">
        <v>334</v>
      </c>
      <c r="F8" s="34" t="s">
        <v>201</v>
      </c>
      <c r="N8" t="s">
        <v>188</v>
      </c>
    </row>
    <row r="9" spans="1:14" x14ac:dyDescent="0.3">
      <c r="A9" t="s">
        <v>324</v>
      </c>
      <c r="B9" t="s">
        <v>210</v>
      </c>
      <c r="D9" t="s">
        <v>483</v>
      </c>
      <c r="E9" s="32" t="s">
        <v>335</v>
      </c>
      <c r="F9" s="34" t="s">
        <v>289</v>
      </c>
      <c r="N9" t="s">
        <v>189</v>
      </c>
    </row>
    <row r="10" spans="1:14" x14ac:dyDescent="0.3">
      <c r="B10" t="s">
        <v>211</v>
      </c>
      <c r="D10" t="s">
        <v>484</v>
      </c>
      <c r="E10" s="32" t="s">
        <v>336</v>
      </c>
      <c r="F10" s="34" t="s">
        <v>290</v>
      </c>
      <c r="N10" t="s">
        <v>190</v>
      </c>
    </row>
    <row r="11" spans="1:14" x14ac:dyDescent="0.3">
      <c r="A11" s="32" t="s">
        <v>466</v>
      </c>
      <c r="B11" t="s">
        <v>212</v>
      </c>
      <c r="D11" t="s">
        <v>485</v>
      </c>
      <c r="E11" s="32" t="s">
        <v>337</v>
      </c>
      <c r="F11" s="34" t="s">
        <v>291</v>
      </c>
      <c r="N11" t="s">
        <v>191</v>
      </c>
    </row>
    <row r="12" spans="1:14" x14ac:dyDescent="0.3">
      <c r="A12" t="s">
        <v>458</v>
      </c>
      <c r="B12" t="s">
        <v>213</v>
      </c>
      <c r="D12" t="s">
        <v>486</v>
      </c>
      <c r="E12" s="32" t="s">
        <v>338</v>
      </c>
      <c r="F12" s="34" t="s">
        <v>292</v>
      </c>
      <c r="N12" t="s">
        <v>192</v>
      </c>
    </row>
    <row r="13" spans="1:14" x14ac:dyDescent="0.3">
      <c r="A13" t="s">
        <v>452</v>
      </c>
      <c r="B13" t="s">
        <v>214</v>
      </c>
      <c r="D13" t="s">
        <v>487</v>
      </c>
      <c r="E13" s="32" t="s">
        <v>339</v>
      </c>
      <c r="N13" t="s">
        <v>193</v>
      </c>
    </row>
    <row r="14" spans="1:14" x14ac:dyDescent="0.3">
      <c r="A14" t="s">
        <v>459</v>
      </c>
      <c r="B14" t="s">
        <v>215</v>
      </c>
      <c r="D14" t="s">
        <v>488</v>
      </c>
      <c r="E14" s="32" t="s">
        <v>340</v>
      </c>
      <c r="N14" t="s">
        <v>194</v>
      </c>
    </row>
    <row r="15" spans="1:14" x14ac:dyDescent="0.3">
      <c r="A15" t="s">
        <v>460</v>
      </c>
      <c r="B15" t="s">
        <v>216</v>
      </c>
      <c r="D15" t="s">
        <v>489</v>
      </c>
      <c r="E15" s="32" t="s">
        <v>341</v>
      </c>
      <c r="N15" t="s">
        <v>195</v>
      </c>
    </row>
    <row r="16" spans="1:14" x14ac:dyDescent="0.3">
      <c r="A16" t="s">
        <v>457</v>
      </c>
      <c r="B16" t="s">
        <v>217</v>
      </c>
      <c r="D16" t="s">
        <v>490</v>
      </c>
      <c r="E16" s="32" t="s">
        <v>342</v>
      </c>
      <c r="N16" t="s">
        <v>196</v>
      </c>
    </row>
    <row r="17" spans="1:5" x14ac:dyDescent="0.3">
      <c r="B17" t="s">
        <v>218</v>
      </c>
      <c r="D17" t="s">
        <v>491</v>
      </c>
      <c r="E17" s="32" t="s">
        <v>343</v>
      </c>
    </row>
    <row r="18" spans="1:5" x14ac:dyDescent="0.3">
      <c r="B18" t="s">
        <v>219</v>
      </c>
      <c r="D18" t="s">
        <v>492</v>
      </c>
      <c r="E18" s="32" t="s">
        <v>344</v>
      </c>
    </row>
    <row r="19" spans="1:5" x14ac:dyDescent="0.3">
      <c r="A19" s="32" t="s">
        <v>4</v>
      </c>
      <c r="B19" t="s">
        <v>220</v>
      </c>
      <c r="D19" t="s">
        <v>493</v>
      </c>
    </row>
    <row r="20" spans="1:5" x14ac:dyDescent="0.3">
      <c r="A20" t="s">
        <v>467</v>
      </c>
      <c r="B20" t="s">
        <v>221</v>
      </c>
      <c r="D20" t="s">
        <v>494</v>
      </c>
    </row>
    <row r="21" spans="1:5" x14ac:dyDescent="0.3">
      <c r="A21" t="s">
        <v>468</v>
      </c>
      <c r="B21" t="s">
        <v>222</v>
      </c>
      <c r="D21" t="s">
        <v>495</v>
      </c>
    </row>
    <row r="22" spans="1:5" x14ac:dyDescent="0.3">
      <c r="A22" t="s">
        <v>469</v>
      </c>
      <c r="B22" t="s">
        <v>223</v>
      </c>
      <c r="D22" t="s">
        <v>496</v>
      </c>
    </row>
    <row r="23" spans="1:5" x14ac:dyDescent="0.3">
      <c r="A23" t="s">
        <v>470</v>
      </c>
      <c r="B23" t="s">
        <v>224</v>
      </c>
      <c r="D23" t="s">
        <v>497</v>
      </c>
    </row>
    <row r="24" spans="1:5" x14ac:dyDescent="0.3">
      <c r="A24" t="s">
        <v>471</v>
      </c>
      <c r="B24" t="s">
        <v>225</v>
      </c>
      <c r="D24" t="s">
        <v>498</v>
      </c>
    </row>
    <row r="25" spans="1:5" x14ac:dyDescent="0.3">
      <c r="B25" t="s">
        <v>226</v>
      </c>
      <c r="D25" t="s">
        <v>499</v>
      </c>
    </row>
    <row r="26" spans="1:5" x14ac:dyDescent="0.3">
      <c r="B26" t="s">
        <v>227</v>
      </c>
      <c r="D26" t="s">
        <v>500</v>
      </c>
    </row>
    <row r="27" spans="1:5" x14ac:dyDescent="0.3">
      <c r="B27" t="s">
        <v>228</v>
      </c>
      <c r="D27" t="s">
        <v>501</v>
      </c>
    </row>
    <row r="28" spans="1:5" x14ac:dyDescent="0.3">
      <c r="B28" t="s">
        <v>229</v>
      </c>
      <c r="D28" t="s">
        <v>502</v>
      </c>
    </row>
    <row r="29" spans="1:5" x14ac:dyDescent="0.3">
      <c r="B29" t="s">
        <v>230</v>
      </c>
      <c r="D29" t="s">
        <v>503</v>
      </c>
    </row>
    <row r="30" spans="1:5" x14ac:dyDescent="0.3">
      <c r="B30" t="s">
        <v>231</v>
      </c>
      <c r="D30" t="s">
        <v>504</v>
      </c>
    </row>
    <row r="31" spans="1:5" x14ac:dyDescent="0.3">
      <c r="B31" t="s">
        <v>232</v>
      </c>
      <c r="D31" t="s">
        <v>505</v>
      </c>
    </row>
    <row r="32" spans="1:5" x14ac:dyDescent="0.3">
      <c r="B32" t="s">
        <v>233</v>
      </c>
      <c r="D32" t="s">
        <v>506</v>
      </c>
    </row>
    <row r="33" spans="2:4" x14ac:dyDescent="0.3">
      <c r="B33" t="s">
        <v>234</v>
      </c>
      <c r="D33" t="s">
        <v>507</v>
      </c>
    </row>
    <row r="34" spans="2:4" x14ac:dyDescent="0.3">
      <c r="B34" t="s">
        <v>235</v>
      </c>
      <c r="D34" t="s">
        <v>508</v>
      </c>
    </row>
    <row r="35" spans="2:4" x14ac:dyDescent="0.3">
      <c r="B35" t="s">
        <v>236</v>
      </c>
      <c r="D35" t="s">
        <v>509</v>
      </c>
    </row>
    <row r="36" spans="2:4" x14ac:dyDescent="0.3">
      <c r="B36" t="s">
        <v>237</v>
      </c>
      <c r="D36" t="s">
        <v>510</v>
      </c>
    </row>
    <row r="37" spans="2:4" x14ac:dyDescent="0.3">
      <c r="B37" t="s">
        <v>238</v>
      </c>
      <c r="D37" t="s">
        <v>511</v>
      </c>
    </row>
    <row r="38" spans="2:4" x14ac:dyDescent="0.3">
      <c r="B38" t="s">
        <v>239</v>
      </c>
      <c r="D38" t="s">
        <v>512</v>
      </c>
    </row>
    <row r="39" spans="2:4" x14ac:dyDescent="0.3">
      <c r="B39" t="s">
        <v>240</v>
      </c>
      <c r="D39" t="s">
        <v>513</v>
      </c>
    </row>
    <row r="40" spans="2:4" x14ac:dyDescent="0.3">
      <c r="B40" t="s">
        <v>241</v>
      </c>
      <c r="D40" t="s">
        <v>514</v>
      </c>
    </row>
    <row r="41" spans="2:4" x14ac:dyDescent="0.3">
      <c r="B41" t="s">
        <v>242</v>
      </c>
      <c r="D41" t="s">
        <v>515</v>
      </c>
    </row>
    <row r="42" spans="2:4" x14ac:dyDescent="0.3">
      <c r="B42" t="s">
        <v>243</v>
      </c>
      <c r="D42" t="s">
        <v>516</v>
      </c>
    </row>
    <row r="43" spans="2:4" x14ac:dyDescent="0.3">
      <c r="B43" t="s">
        <v>244</v>
      </c>
      <c r="D43" t="s">
        <v>517</v>
      </c>
    </row>
    <row r="44" spans="2:4" x14ac:dyDescent="0.3">
      <c r="B44" t="s">
        <v>245</v>
      </c>
      <c r="D44" t="s">
        <v>518</v>
      </c>
    </row>
    <row r="45" spans="2:4" x14ac:dyDescent="0.3">
      <c r="B45" t="s">
        <v>246</v>
      </c>
      <c r="D45" t="s">
        <v>519</v>
      </c>
    </row>
    <row r="46" spans="2:4" x14ac:dyDescent="0.3">
      <c r="B46" t="s">
        <v>247</v>
      </c>
      <c r="D46" t="s">
        <v>520</v>
      </c>
    </row>
    <row r="47" spans="2:4" x14ac:dyDescent="0.3">
      <c r="B47" t="s">
        <v>248</v>
      </c>
      <c r="D47" t="s">
        <v>521</v>
      </c>
    </row>
    <row r="48" spans="2:4" x14ac:dyDescent="0.3">
      <c r="B48" t="s">
        <v>249</v>
      </c>
      <c r="D48" t="s">
        <v>522</v>
      </c>
    </row>
    <row r="49" spans="2:4" x14ac:dyDescent="0.3">
      <c r="B49" t="s">
        <v>250</v>
      </c>
      <c r="D49" t="s">
        <v>523</v>
      </c>
    </row>
    <row r="50" spans="2:4" x14ac:dyDescent="0.3">
      <c r="B50" t="s">
        <v>251</v>
      </c>
      <c r="D50" t="s">
        <v>524</v>
      </c>
    </row>
    <row r="51" spans="2:4" x14ac:dyDescent="0.3">
      <c r="B51" t="s">
        <v>252</v>
      </c>
      <c r="D51" t="s">
        <v>525</v>
      </c>
    </row>
    <row r="52" spans="2:4" x14ac:dyDescent="0.3">
      <c r="B52" t="s">
        <v>253</v>
      </c>
      <c r="D52" t="s">
        <v>526</v>
      </c>
    </row>
    <row r="53" spans="2:4" x14ac:dyDescent="0.3">
      <c r="B53" t="s">
        <v>254</v>
      </c>
      <c r="D53" t="s">
        <v>527</v>
      </c>
    </row>
    <row r="54" spans="2:4" x14ac:dyDescent="0.3">
      <c r="B54" t="s">
        <v>255</v>
      </c>
      <c r="D54" t="s">
        <v>528</v>
      </c>
    </row>
    <row r="55" spans="2:4" x14ac:dyDescent="0.3">
      <c r="B55" t="s">
        <v>256</v>
      </c>
      <c r="D55" t="s">
        <v>529</v>
      </c>
    </row>
    <row r="56" spans="2:4" x14ac:dyDescent="0.3">
      <c r="B56" t="s">
        <v>257</v>
      </c>
      <c r="D56" t="s">
        <v>530</v>
      </c>
    </row>
    <row r="57" spans="2:4" x14ac:dyDescent="0.3">
      <c r="B57" t="s">
        <v>258</v>
      </c>
      <c r="D57" t="s">
        <v>531</v>
      </c>
    </row>
    <row r="58" spans="2:4" x14ac:dyDescent="0.3">
      <c r="B58" t="s">
        <v>259</v>
      </c>
      <c r="D58" t="s">
        <v>532</v>
      </c>
    </row>
    <row r="59" spans="2:4" x14ac:dyDescent="0.3">
      <c r="B59" t="s">
        <v>260</v>
      </c>
      <c r="D59" t="s">
        <v>533</v>
      </c>
    </row>
    <row r="60" spans="2:4" x14ac:dyDescent="0.3">
      <c r="B60" t="s">
        <v>261</v>
      </c>
      <c r="D60" t="s">
        <v>534</v>
      </c>
    </row>
    <row r="61" spans="2:4" x14ac:dyDescent="0.3">
      <c r="B61" t="s">
        <v>262</v>
      </c>
      <c r="D61" t="s">
        <v>535</v>
      </c>
    </row>
    <row r="62" spans="2:4" x14ac:dyDescent="0.3">
      <c r="B62" t="s">
        <v>263</v>
      </c>
      <c r="D62" t="s">
        <v>536</v>
      </c>
    </row>
    <row r="63" spans="2:4" x14ac:dyDescent="0.3">
      <c r="B63" t="s">
        <v>264</v>
      </c>
      <c r="D63" t="s">
        <v>537</v>
      </c>
    </row>
    <row r="64" spans="2:4" x14ac:dyDescent="0.3">
      <c r="B64" t="s">
        <v>265</v>
      </c>
      <c r="D64" t="s">
        <v>538</v>
      </c>
    </row>
    <row r="65" spans="2:4" x14ac:dyDescent="0.3">
      <c r="B65" t="s">
        <v>266</v>
      </c>
      <c r="D65" t="s">
        <v>539</v>
      </c>
    </row>
    <row r="66" spans="2:4" x14ac:dyDescent="0.3">
      <c r="B66" t="s">
        <v>267</v>
      </c>
      <c r="D66" t="s">
        <v>540</v>
      </c>
    </row>
    <row r="67" spans="2:4" x14ac:dyDescent="0.3">
      <c r="B67" t="s">
        <v>268</v>
      </c>
      <c r="D67" t="s">
        <v>541</v>
      </c>
    </row>
    <row r="68" spans="2:4" x14ac:dyDescent="0.3">
      <c r="B68" t="s">
        <v>269</v>
      </c>
      <c r="D68" t="s">
        <v>542</v>
      </c>
    </row>
    <row r="69" spans="2:4" x14ac:dyDescent="0.3">
      <c r="B69" t="s">
        <v>270</v>
      </c>
      <c r="D69" t="s">
        <v>543</v>
      </c>
    </row>
    <row r="70" spans="2:4" x14ac:dyDescent="0.3">
      <c r="B70" t="s">
        <v>271</v>
      </c>
      <c r="D70" t="s">
        <v>544</v>
      </c>
    </row>
    <row r="71" spans="2:4" x14ac:dyDescent="0.3">
      <c r="B71" t="s">
        <v>272</v>
      </c>
      <c r="D71" t="s">
        <v>545</v>
      </c>
    </row>
    <row r="72" spans="2:4" x14ac:dyDescent="0.3">
      <c r="B72" t="s">
        <v>273</v>
      </c>
      <c r="D72" t="s">
        <v>546</v>
      </c>
    </row>
    <row r="73" spans="2:4" x14ac:dyDescent="0.3">
      <c r="B73" t="s">
        <v>274</v>
      </c>
      <c r="D73" t="s">
        <v>547</v>
      </c>
    </row>
    <row r="74" spans="2:4" x14ac:dyDescent="0.3">
      <c r="B74" t="s">
        <v>275</v>
      </c>
      <c r="D74" t="s">
        <v>548</v>
      </c>
    </row>
    <row r="75" spans="2:4" x14ac:dyDescent="0.3">
      <c r="B75" t="s">
        <v>276</v>
      </c>
      <c r="D75" t="s">
        <v>549</v>
      </c>
    </row>
    <row r="76" spans="2:4" x14ac:dyDescent="0.3">
      <c r="B76" t="s">
        <v>277</v>
      </c>
      <c r="D76" t="s">
        <v>550</v>
      </c>
    </row>
    <row r="77" spans="2:4" x14ac:dyDescent="0.3">
      <c r="B77" t="s">
        <v>278</v>
      </c>
      <c r="D77" t="s">
        <v>551</v>
      </c>
    </row>
    <row r="78" spans="2:4" x14ac:dyDescent="0.3">
      <c r="B78" t="s">
        <v>279</v>
      </c>
      <c r="D78" t="s">
        <v>552</v>
      </c>
    </row>
    <row r="79" spans="2:4" x14ac:dyDescent="0.3">
      <c r="B79" t="s">
        <v>280</v>
      </c>
      <c r="D79" t="s">
        <v>553</v>
      </c>
    </row>
    <row r="80" spans="2:4" x14ac:dyDescent="0.3">
      <c r="B80" t="s">
        <v>281</v>
      </c>
      <c r="D80" t="s">
        <v>554</v>
      </c>
    </row>
    <row r="81" spans="2:4" x14ac:dyDescent="0.3">
      <c r="B81" t="s">
        <v>282</v>
      </c>
      <c r="D81" t="s">
        <v>555</v>
      </c>
    </row>
    <row r="82" spans="2:4" x14ac:dyDescent="0.3">
      <c r="B82" t="s">
        <v>283</v>
      </c>
      <c r="D82" t="s">
        <v>556</v>
      </c>
    </row>
    <row r="83" spans="2:4" x14ac:dyDescent="0.3">
      <c r="D83" t="s">
        <v>557</v>
      </c>
    </row>
    <row r="84" spans="2:4" x14ac:dyDescent="0.3">
      <c r="D84" t="s">
        <v>558</v>
      </c>
    </row>
    <row r="85" spans="2:4" x14ac:dyDescent="0.3">
      <c r="D85" t="s">
        <v>559</v>
      </c>
    </row>
    <row r="86" spans="2:4" x14ac:dyDescent="0.3">
      <c r="D86" t="s">
        <v>560</v>
      </c>
    </row>
    <row r="87" spans="2:4" x14ac:dyDescent="0.3">
      <c r="D87" t="s">
        <v>561</v>
      </c>
    </row>
    <row r="88" spans="2:4" x14ac:dyDescent="0.3">
      <c r="D88" t="s">
        <v>562</v>
      </c>
    </row>
    <row r="89" spans="2:4" x14ac:dyDescent="0.3">
      <c r="D89" t="s">
        <v>563</v>
      </c>
    </row>
    <row r="90" spans="2:4" x14ac:dyDescent="0.3">
      <c r="D90" t="s">
        <v>564</v>
      </c>
    </row>
    <row r="91" spans="2:4" x14ac:dyDescent="0.3">
      <c r="D91" t="s">
        <v>565</v>
      </c>
    </row>
    <row r="92" spans="2:4" x14ac:dyDescent="0.3">
      <c r="D92" t="s">
        <v>566</v>
      </c>
    </row>
    <row r="93" spans="2:4" x14ac:dyDescent="0.3">
      <c r="D93" t="s">
        <v>567</v>
      </c>
    </row>
    <row r="94" spans="2:4" x14ac:dyDescent="0.3">
      <c r="D94" t="s">
        <v>568</v>
      </c>
    </row>
    <row r="95" spans="2:4" x14ac:dyDescent="0.3">
      <c r="D95" t="s">
        <v>569</v>
      </c>
    </row>
    <row r="96" spans="2:4" x14ac:dyDescent="0.3">
      <c r="D96" t="s">
        <v>570</v>
      </c>
    </row>
    <row r="97" spans="4:4" x14ac:dyDescent="0.3">
      <c r="D97" t="s">
        <v>571</v>
      </c>
    </row>
    <row r="98" spans="4:4" x14ac:dyDescent="0.3">
      <c r="D98" t="s">
        <v>572</v>
      </c>
    </row>
    <row r="99" spans="4:4" x14ac:dyDescent="0.3">
      <c r="D99" t="s">
        <v>573</v>
      </c>
    </row>
    <row r="100" spans="4:4" x14ac:dyDescent="0.3">
      <c r="D100" t="s">
        <v>574</v>
      </c>
    </row>
    <row r="101" spans="4:4" x14ac:dyDescent="0.3">
      <c r="D101" t="s">
        <v>575</v>
      </c>
    </row>
    <row r="102" spans="4:4" x14ac:dyDescent="0.3">
      <c r="D102" t="s">
        <v>576</v>
      </c>
    </row>
    <row r="103" spans="4:4" x14ac:dyDescent="0.3">
      <c r="D103" t="s">
        <v>577</v>
      </c>
    </row>
    <row r="104" spans="4:4" x14ac:dyDescent="0.3">
      <c r="D104" t="s">
        <v>578</v>
      </c>
    </row>
    <row r="105" spans="4:4" x14ac:dyDescent="0.3">
      <c r="D105" t="s">
        <v>579</v>
      </c>
    </row>
    <row r="106" spans="4:4" x14ac:dyDescent="0.3">
      <c r="D106" t="s">
        <v>580</v>
      </c>
    </row>
    <row r="107" spans="4:4" x14ac:dyDescent="0.3">
      <c r="D107" t="s">
        <v>581</v>
      </c>
    </row>
    <row r="108" spans="4:4" x14ac:dyDescent="0.3">
      <c r="D108" t="s">
        <v>582</v>
      </c>
    </row>
    <row r="109" spans="4:4" x14ac:dyDescent="0.3">
      <c r="D109" t="s">
        <v>583</v>
      </c>
    </row>
    <row r="110" spans="4:4" x14ac:dyDescent="0.3">
      <c r="D110" t="s">
        <v>583</v>
      </c>
    </row>
    <row r="111" spans="4:4" x14ac:dyDescent="0.3">
      <c r="D111" t="s">
        <v>584</v>
      </c>
    </row>
    <row r="112" spans="4:4" x14ac:dyDescent="0.3">
      <c r="D112" t="s">
        <v>585</v>
      </c>
    </row>
    <row r="113" spans="4:4" x14ac:dyDescent="0.3">
      <c r="D113" t="s">
        <v>586</v>
      </c>
    </row>
    <row r="114" spans="4:4" x14ac:dyDescent="0.3">
      <c r="D114" t="s">
        <v>587</v>
      </c>
    </row>
    <row r="115" spans="4:4" x14ac:dyDescent="0.3">
      <c r="D115" t="s">
        <v>588</v>
      </c>
    </row>
    <row r="116" spans="4:4" x14ac:dyDescent="0.3">
      <c r="D116" t="s">
        <v>589</v>
      </c>
    </row>
    <row r="117" spans="4:4" x14ac:dyDescent="0.3">
      <c r="D117" t="s">
        <v>590</v>
      </c>
    </row>
    <row r="118" spans="4:4" x14ac:dyDescent="0.3">
      <c r="D118" t="s">
        <v>591</v>
      </c>
    </row>
    <row r="119" spans="4:4" x14ac:dyDescent="0.3">
      <c r="D119" t="s">
        <v>592</v>
      </c>
    </row>
    <row r="120" spans="4:4" x14ac:dyDescent="0.3">
      <c r="D120" t="s">
        <v>593</v>
      </c>
    </row>
    <row r="121" spans="4:4" x14ac:dyDescent="0.3">
      <c r="D121" t="s">
        <v>594</v>
      </c>
    </row>
    <row r="122" spans="4:4" x14ac:dyDescent="0.3">
      <c r="D122" t="s">
        <v>595</v>
      </c>
    </row>
    <row r="123" spans="4:4" x14ac:dyDescent="0.3">
      <c r="D123" t="s">
        <v>596</v>
      </c>
    </row>
    <row r="124" spans="4:4" x14ac:dyDescent="0.3">
      <c r="D124" t="s">
        <v>597</v>
      </c>
    </row>
    <row r="125" spans="4:4" x14ac:dyDescent="0.3">
      <c r="D125" t="s">
        <v>598</v>
      </c>
    </row>
    <row r="126" spans="4:4" x14ac:dyDescent="0.3">
      <c r="D126" t="s">
        <v>599</v>
      </c>
    </row>
    <row r="127" spans="4:4" x14ac:dyDescent="0.3">
      <c r="D127" t="s">
        <v>600</v>
      </c>
    </row>
    <row r="128" spans="4:4" x14ac:dyDescent="0.3">
      <c r="D128" t="s">
        <v>601</v>
      </c>
    </row>
    <row r="129" spans="4:4" x14ac:dyDescent="0.3">
      <c r="D129" t="s">
        <v>602</v>
      </c>
    </row>
    <row r="130" spans="4:4" x14ac:dyDescent="0.3">
      <c r="D130" t="s">
        <v>603</v>
      </c>
    </row>
    <row r="131" spans="4:4" x14ac:dyDescent="0.3">
      <c r="D131" t="s">
        <v>604</v>
      </c>
    </row>
    <row r="132" spans="4:4" x14ac:dyDescent="0.3">
      <c r="D132" t="s">
        <v>605</v>
      </c>
    </row>
    <row r="133" spans="4:4" x14ac:dyDescent="0.3">
      <c r="D133" t="s">
        <v>606</v>
      </c>
    </row>
    <row r="134" spans="4:4" x14ac:dyDescent="0.3">
      <c r="D134" t="s">
        <v>607</v>
      </c>
    </row>
    <row r="135" spans="4:4" x14ac:dyDescent="0.3">
      <c r="D135" t="s">
        <v>608</v>
      </c>
    </row>
    <row r="136" spans="4:4" x14ac:dyDescent="0.3">
      <c r="D136" t="s">
        <v>609</v>
      </c>
    </row>
    <row r="137" spans="4:4" x14ac:dyDescent="0.3">
      <c r="D137" t="s">
        <v>610</v>
      </c>
    </row>
    <row r="138" spans="4:4" x14ac:dyDescent="0.3">
      <c r="D138" t="s">
        <v>611</v>
      </c>
    </row>
    <row r="139" spans="4:4" x14ac:dyDescent="0.3">
      <c r="D139" t="s">
        <v>612</v>
      </c>
    </row>
    <row r="140" spans="4:4" x14ac:dyDescent="0.3">
      <c r="D140" t="s">
        <v>613</v>
      </c>
    </row>
    <row r="141" spans="4:4" x14ac:dyDescent="0.3">
      <c r="D141" t="s">
        <v>614</v>
      </c>
    </row>
    <row r="142" spans="4:4" x14ac:dyDescent="0.3">
      <c r="D142" t="s">
        <v>615</v>
      </c>
    </row>
    <row r="143" spans="4:4" x14ac:dyDescent="0.3">
      <c r="D143" t="s">
        <v>616</v>
      </c>
    </row>
    <row r="144" spans="4:4" x14ac:dyDescent="0.3">
      <c r="D144" t="s">
        <v>617</v>
      </c>
    </row>
    <row r="145" spans="4:4" x14ac:dyDescent="0.3">
      <c r="D145" t="s">
        <v>618</v>
      </c>
    </row>
    <row r="146" spans="4:4" x14ac:dyDescent="0.3">
      <c r="D146" t="s">
        <v>619</v>
      </c>
    </row>
    <row r="147" spans="4:4" x14ac:dyDescent="0.3">
      <c r="D147" t="s">
        <v>620</v>
      </c>
    </row>
    <row r="148" spans="4:4" x14ac:dyDescent="0.3">
      <c r="D148" t="s">
        <v>621</v>
      </c>
    </row>
    <row r="149" spans="4:4" x14ac:dyDescent="0.3">
      <c r="D149" t="s">
        <v>621</v>
      </c>
    </row>
    <row r="150" spans="4:4" x14ac:dyDescent="0.3">
      <c r="D150" t="s">
        <v>622</v>
      </c>
    </row>
    <row r="151" spans="4:4" x14ac:dyDescent="0.3">
      <c r="D151" t="s">
        <v>623</v>
      </c>
    </row>
    <row r="152" spans="4:4" x14ac:dyDescent="0.3">
      <c r="D152" t="s">
        <v>624</v>
      </c>
    </row>
    <row r="153" spans="4:4" x14ac:dyDescent="0.3">
      <c r="D153" t="s">
        <v>625</v>
      </c>
    </row>
    <row r="154" spans="4:4" x14ac:dyDescent="0.3">
      <c r="D154" t="s">
        <v>626</v>
      </c>
    </row>
    <row r="155" spans="4:4" x14ac:dyDescent="0.3">
      <c r="D155" t="s">
        <v>627</v>
      </c>
    </row>
    <row r="156" spans="4:4" x14ac:dyDescent="0.3">
      <c r="D156" t="s">
        <v>628</v>
      </c>
    </row>
    <row r="157" spans="4:4" x14ac:dyDescent="0.3">
      <c r="D157" t="s">
        <v>629</v>
      </c>
    </row>
    <row r="158" spans="4:4" x14ac:dyDescent="0.3">
      <c r="D158" t="s">
        <v>630</v>
      </c>
    </row>
    <row r="159" spans="4:4" x14ac:dyDescent="0.3">
      <c r="D159" t="s">
        <v>631</v>
      </c>
    </row>
    <row r="160" spans="4:4" x14ac:dyDescent="0.3">
      <c r="D160" t="s">
        <v>632</v>
      </c>
    </row>
    <row r="161" spans="4:4" x14ac:dyDescent="0.3">
      <c r="D161" t="s">
        <v>633</v>
      </c>
    </row>
    <row r="162" spans="4:4" x14ac:dyDescent="0.3">
      <c r="D162" t="s">
        <v>634</v>
      </c>
    </row>
    <row r="163" spans="4:4" x14ac:dyDescent="0.3">
      <c r="D163" t="s">
        <v>635</v>
      </c>
    </row>
    <row r="164" spans="4:4" x14ac:dyDescent="0.3">
      <c r="D164" t="s">
        <v>636</v>
      </c>
    </row>
    <row r="165" spans="4:4" x14ac:dyDescent="0.3">
      <c r="D165" t="s">
        <v>637</v>
      </c>
    </row>
    <row r="166" spans="4:4" x14ac:dyDescent="0.3">
      <c r="D166" t="s">
        <v>638</v>
      </c>
    </row>
    <row r="167" spans="4:4" x14ac:dyDescent="0.3">
      <c r="D167" t="s">
        <v>639</v>
      </c>
    </row>
    <row r="168" spans="4:4" x14ac:dyDescent="0.3">
      <c r="D168" t="s">
        <v>640</v>
      </c>
    </row>
    <row r="169" spans="4:4" x14ac:dyDescent="0.3">
      <c r="D169" t="s">
        <v>641</v>
      </c>
    </row>
    <row r="170" spans="4:4" x14ac:dyDescent="0.3">
      <c r="D170" t="s">
        <v>642</v>
      </c>
    </row>
    <row r="171" spans="4:4" x14ac:dyDescent="0.3">
      <c r="D171" t="s">
        <v>643</v>
      </c>
    </row>
    <row r="172" spans="4:4" x14ac:dyDescent="0.3">
      <c r="D172" t="s">
        <v>644</v>
      </c>
    </row>
    <row r="173" spans="4:4" x14ac:dyDescent="0.3">
      <c r="D173" t="s">
        <v>645</v>
      </c>
    </row>
    <row r="174" spans="4:4" x14ac:dyDescent="0.3">
      <c r="D174" t="s">
        <v>646</v>
      </c>
    </row>
    <row r="175" spans="4:4" x14ac:dyDescent="0.3">
      <c r="D175" t="s">
        <v>647</v>
      </c>
    </row>
    <row r="176" spans="4:4" x14ac:dyDescent="0.3">
      <c r="D176" t="s">
        <v>648</v>
      </c>
    </row>
    <row r="177" spans="4:4" x14ac:dyDescent="0.3">
      <c r="D177" t="s">
        <v>649</v>
      </c>
    </row>
    <row r="178" spans="4:4" x14ac:dyDescent="0.3">
      <c r="D178" t="s">
        <v>650</v>
      </c>
    </row>
    <row r="179" spans="4:4" x14ac:dyDescent="0.3">
      <c r="D179" t="s">
        <v>651</v>
      </c>
    </row>
    <row r="180" spans="4:4" x14ac:dyDescent="0.3">
      <c r="D180" t="s">
        <v>652</v>
      </c>
    </row>
    <row r="181" spans="4:4" x14ac:dyDescent="0.3">
      <c r="D181" t="s">
        <v>653</v>
      </c>
    </row>
    <row r="182" spans="4:4" x14ac:dyDescent="0.3">
      <c r="D182" t="s">
        <v>654</v>
      </c>
    </row>
    <row r="183" spans="4:4" x14ac:dyDescent="0.3">
      <c r="D183" t="s">
        <v>655</v>
      </c>
    </row>
    <row r="184" spans="4:4" x14ac:dyDescent="0.3">
      <c r="D184" t="s">
        <v>656</v>
      </c>
    </row>
    <row r="185" spans="4:4" x14ac:dyDescent="0.3">
      <c r="D185" t="s">
        <v>657</v>
      </c>
    </row>
    <row r="186" spans="4:4" x14ac:dyDescent="0.3">
      <c r="D186" t="s">
        <v>658</v>
      </c>
    </row>
    <row r="187" spans="4:4" x14ac:dyDescent="0.3">
      <c r="D187" t="s">
        <v>659</v>
      </c>
    </row>
    <row r="188" spans="4:4" x14ac:dyDescent="0.3">
      <c r="D188" t="s">
        <v>660</v>
      </c>
    </row>
    <row r="189" spans="4:4" x14ac:dyDescent="0.3">
      <c r="D189" t="s">
        <v>661</v>
      </c>
    </row>
    <row r="190" spans="4:4" x14ac:dyDescent="0.3">
      <c r="D190" t="s">
        <v>662</v>
      </c>
    </row>
    <row r="191" spans="4:4" x14ac:dyDescent="0.3">
      <c r="D191" t="s">
        <v>663</v>
      </c>
    </row>
    <row r="192" spans="4:4" x14ac:dyDescent="0.3">
      <c r="D192" t="s">
        <v>664</v>
      </c>
    </row>
    <row r="193" spans="4:4" x14ac:dyDescent="0.3">
      <c r="D193" t="s">
        <v>665</v>
      </c>
    </row>
    <row r="194" spans="4:4" x14ac:dyDescent="0.3">
      <c r="D194" t="s">
        <v>666</v>
      </c>
    </row>
  </sheetData>
  <pageMargins left="0.59055118110236227" right="0.59055118110236227" top="0.59055118110236227" bottom="0.59055118110236227" header="0.31496062992125984" footer="0.31496062992125984"/>
  <pageSetup paperSize="9" scale="19" fitToHeight="0" orientation="portrait" horizontalDpi="0" verticalDpi="0" r:id="rId1"/>
  <headerFooter>
    <oddFooter>&amp;L&amp;A&amp;C&amp;P de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119AC-4D82-4223-9E93-4E53959DAF82}">
  <sheetPr codeName="Hoja3">
    <tabColor theme="7" tint="0.79998168889431442"/>
    <pageSetUpPr fitToPage="1"/>
  </sheetPr>
  <dimension ref="A1:AC248"/>
  <sheetViews>
    <sheetView showGridLines="0" zoomScaleNormal="100" workbookViewId="0">
      <selection activeCell="B16" sqref="B16:E16"/>
    </sheetView>
  </sheetViews>
  <sheetFormatPr baseColWidth="10" defaultColWidth="11.44140625" defaultRowHeight="15.6" x14ac:dyDescent="0.3"/>
  <cols>
    <col min="1" max="1" width="33.5546875" style="1" customWidth="1"/>
    <col min="2" max="2" width="46.5546875" style="4" customWidth="1"/>
    <col min="3" max="3" width="14" style="4" customWidth="1"/>
    <col min="4" max="4" width="15" style="4" customWidth="1"/>
    <col min="5" max="5" width="15.5546875" style="4" customWidth="1"/>
    <col min="6" max="20" width="8.21875" style="4" customWidth="1"/>
    <col min="21" max="21" width="8.21875" style="110" hidden="1" customWidth="1"/>
    <col min="22" max="22" width="8.21875" style="35" hidden="1" customWidth="1"/>
    <col min="23" max="23" width="19.88671875" style="35" hidden="1" customWidth="1"/>
    <col min="24" max="25" width="8.21875" style="35" hidden="1" customWidth="1"/>
    <col min="26" max="29" width="8.21875" style="1" customWidth="1"/>
    <col min="30" max="16384" width="11.44140625" style="1"/>
  </cols>
  <sheetData>
    <row r="1" spans="1:23" ht="15.6" customHeight="1" x14ac:dyDescent="0.3"/>
    <row r="2" spans="1:23" ht="15.6" customHeight="1" x14ac:dyDescent="0.3"/>
    <row r="3" spans="1:23" ht="15.6" customHeight="1" x14ac:dyDescent="0.3"/>
    <row r="4" spans="1:23" ht="15.6" customHeight="1" x14ac:dyDescent="0.3"/>
    <row r="5" spans="1:23" ht="15.6" customHeight="1" x14ac:dyDescent="0.3"/>
    <row r="6" spans="1:23" ht="15.6" customHeight="1" x14ac:dyDescent="0.3"/>
    <row r="7" spans="1:23" ht="15.6" customHeight="1" x14ac:dyDescent="0.3">
      <c r="A7" s="331" t="str">
        <f>"Microcredencial Universitaria en "&amp;TítuloMU</f>
        <v xml:space="preserve">Microcredencial Universitaria en </v>
      </c>
      <c r="B7" s="331"/>
      <c r="C7" s="331"/>
      <c r="D7" s="331"/>
      <c r="E7" s="331"/>
    </row>
    <row r="8" spans="1:23" ht="15.6" customHeight="1" x14ac:dyDescent="0.3">
      <c r="A8" s="3"/>
      <c r="B8" s="3"/>
      <c r="C8" s="3"/>
      <c r="D8" s="3"/>
      <c r="E8" s="3"/>
    </row>
    <row r="9" spans="1:23" ht="15.6" customHeight="1" x14ac:dyDescent="0.3">
      <c r="A9" s="3"/>
      <c r="B9" s="3"/>
      <c r="C9" s="3"/>
      <c r="D9" s="3"/>
      <c r="E9" s="3"/>
    </row>
    <row r="10" spans="1:23" ht="15.6" customHeight="1" x14ac:dyDescent="0.3">
      <c r="A10" s="279" t="s">
        <v>37</v>
      </c>
      <c r="B10" s="279"/>
      <c r="C10" s="279"/>
      <c r="D10" s="279"/>
      <c r="E10" s="279"/>
    </row>
    <row r="11" spans="1:23" ht="15.6" customHeight="1" x14ac:dyDescent="0.3"/>
    <row r="12" spans="1:23" ht="15.6" customHeight="1" x14ac:dyDescent="0.3"/>
    <row r="13" spans="1:23" ht="15.6" customHeight="1" x14ac:dyDescent="0.3">
      <c r="A13" s="325" t="s">
        <v>35</v>
      </c>
      <c r="B13" s="325"/>
      <c r="C13" s="325"/>
      <c r="D13" s="325"/>
      <c r="E13" s="325"/>
    </row>
    <row r="14" spans="1:23" ht="15.6" customHeight="1" x14ac:dyDescent="0.3"/>
    <row r="15" spans="1:23" ht="15.6" customHeight="1" x14ac:dyDescent="0.3"/>
    <row r="16" spans="1:23" ht="31.2" customHeight="1" x14ac:dyDescent="0.3">
      <c r="A16" s="5" t="s">
        <v>693</v>
      </c>
      <c r="B16" s="326"/>
      <c r="C16" s="327"/>
      <c r="D16" s="327"/>
      <c r="E16" s="328"/>
      <c r="W16" s="35">
        <f>IF(AND(R.A.1&lt;&gt;"",RA1.Tipo&lt;&gt;"",RA1.Reut&lt;&gt;"",OR(RA1.ESCO&lt;&gt;"",RA1.OCap&lt;&gt;"")),0,1)</f>
        <v>1</v>
      </c>
    </row>
    <row r="17" spans="1:29" ht="15.6" customHeight="1" x14ac:dyDescent="0.3">
      <c r="A17" s="1" t="s">
        <v>33</v>
      </c>
      <c r="B17" s="117"/>
      <c r="C17" s="111"/>
      <c r="D17" s="111"/>
      <c r="E17" s="111"/>
      <c r="F17" s="6"/>
      <c r="G17" s="6"/>
      <c r="H17" s="6"/>
      <c r="I17" s="6"/>
      <c r="J17" s="6"/>
      <c r="K17" s="6"/>
      <c r="L17" s="6"/>
      <c r="M17" s="6"/>
      <c r="N17" s="6"/>
      <c r="O17" s="6"/>
      <c r="P17" s="6"/>
      <c r="Q17" s="6"/>
      <c r="R17" s="6"/>
      <c r="S17" s="6"/>
      <c r="T17" s="6"/>
      <c r="U17" s="6"/>
      <c r="V17" s="6"/>
      <c r="W17" s="6"/>
      <c r="X17" s="6"/>
      <c r="Y17" s="6"/>
      <c r="Z17" s="6"/>
      <c r="AA17" s="6"/>
      <c r="AB17" s="6"/>
      <c r="AC17" s="7"/>
    </row>
    <row r="18" spans="1:29" ht="15.6" customHeight="1" x14ac:dyDescent="0.3">
      <c r="A18" s="1" t="s">
        <v>34</v>
      </c>
      <c r="B18" s="117"/>
      <c r="C18" s="111"/>
      <c r="D18" s="111"/>
      <c r="E18" s="111"/>
      <c r="F18" s="6"/>
      <c r="G18" s="6"/>
      <c r="H18" s="6"/>
      <c r="I18" s="6"/>
      <c r="J18" s="6"/>
      <c r="K18" s="6"/>
      <c r="L18" s="6"/>
      <c r="M18" s="6"/>
      <c r="N18" s="6"/>
      <c r="O18" s="6"/>
      <c r="P18" s="6"/>
      <c r="Q18" s="6"/>
      <c r="R18" s="6"/>
      <c r="S18" s="6"/>
      <c r="T18" s="6"/>
      <c r="U18" s="6"/>
      <c r="V18" s="6"/>
      <c r="W18" s="6"/>
      <c r="X18" s="6"/>
      <c r="Y18" s="6"/>
      <c r="Z18" s="6"/>
      <c r="AA18" s="6"/>
      <c r="AB18" s="6"/>
      <c r="AC18" s="7"/>
    </row>
    <row r="19" spans="1:29" ht="31.2" customHeight="1" x14ac:dyDescent="0.3">
      <c r="A19" s="8" t="s">
        <v>743</v>
      </c>
      <c r="B19" s="326"/>
      <c r="C19" s="327"/>
      <c r="D19" s="327"/>
      <c r="E19" s="328"/>
      <c r="F19" s="2"/>
      <c r="G19" s="2"/>
      <c r="H19" s="2"/>
      <c r="I19" s="2"/>
      <c r="J19" s="2"/>
      <c r="K19" s="2"/>
      <c r="L19" s="2"/>
      <c r="M19" s="2"/>
      <c r="N19" s="2"/>
      <c r="O19" s="2"/>
      <c r="P19" s="2"/>
      <c r="Q19" s="2"/>
      <c r="R19" s="2"/>
      <c r="S19" s="2"/>
      <c r="T19" s="2"/>
      <c r="U19" s="6"/>
      <c r="V19" s="6"/>
      <c r="W19" s="6"/>
      <c r="X19" s="6"/>
      <c r="Y19" s="6"/>
      <c r="Z19" s="2"/>
      <c r="AA19" s="2"/>
      <c r="AB19" s="2"/>
    </row>
    <row r="20" spans="1:29" ht="31.2" customHeight="1" x14ac:dyDescent="0.3">
      <c r="A20" s="8" t="s">
        <v>671</v>
      </c>
      <c r="B20" s="326"/>
      <c r="C20" s="327"/>
      <c r="D20" s="327"/>
      <c r="E20" s="328"/>
    </row>
    <row r="21" spans="1:29" ht="15.6" customHeight="1" x14ac:dyDescent="0.3">
      <c r="B21" s="111"/>
      <c r="C21" s="111"/>
      <c r="D21" s="111"/>
      <c r="E21" s="111"/>
      <c r="F21" s="6"/>
      <c r="G21" s="6"/>
      <c r="H21" s="6"/>
      <c r="I21" s="6"/>
      <c r="J21" s="6"/>
      <c r="K21" s="6"/>
      <c r="L21" s="6"/>
      <c r="M21" s="6"/>
      <c r="N21" s="6"/>
      <c r="O21" s="6"/>
      <c r="P21" s="6"/>
      <c r="Q21" s="6"/>
      <c r="R21" s="6"/>
      <c r="S21" s="6"/>
      <c r="T21" s="6"/>
      <c r="U21" s="6"/>
      <c r="V21" s="6"/>
      <c r="W21" s="6"/>
      <c r="X21" s="6"/>
      <c r="Y21" s="6"/>
      <c r="Z21" s="6"/>
      <c r="AA21" s="6"/>
      <c r="AB21" s="6"/>
      <c r="AC21" s="7"/>
    </row>
    <row r="22" spans="1:29" ht="31.2" customHeight="1" x14ac:dyDescent="0.3">
      <c r="A22" s="5" t="s">
        <v>697</v>
      </c>
      <c r="B22" s="326"/>
      <c r="C22" s="327"/>
      <c r="D22" s="327"/>
      <c r="E22" s="328"/>
      <c r="F22" s="6"/>
      <c r="G22" s="6"/>
      <c r="H22" s="6"/>
      <c r="I22" s="6"/>
      <c r="J22" s="6"/>
      <c r="K22" s="6"/>
      <c r="L22" s="6"/>
      <c r="M22" s="6"/>
      <c r="N22" s="6"/>
      <c r="O22" s="6"/>
      <c r="P22" s="6"/>
      <c r="Q22" s="6"/>
      <c r="R22" s="6"/>
      <c r="S22" s="6"/>
      <c r="T22" s="6"/>
      <c r="U22" s="6"/>
      <c r="V22" s="6"/>
      <c r="W22" s="35">
        <f>IF(AND(OR(R.A.2&lt;&gt;"",RA2.Tipo&lt;&gt;"",RA2.Reut&lt;&gt;"",RA2.ESCO&lt;&gt;"",RA2.OCap&lt;&gt;""),OR(R.A.2="",RA2.Tipo="",RA2.Reut="",AND(RA2.ESCO="",RA2.OCap=""))),1,0)</f>
        <v>0</v>
      </c>
      <c r="X22" s="6"/>
      <c r="Y22" s="6"/>
      <c r="Z22" s="6"/>
      <c r="AA22" s="6"/>
      <c r="AB22" s="6"/>
      <c r="AC22" s="7"/>
    </row>
    <row r="23" spans="1:29" ht="15.6" customHeight="1" x14ac:dyDescent="0.3">
      <c r="A23" s="1" t="s">
        <v>33</v>
      </c>
      <c r="B23" s="117"/>
      <c r="C23" s="111"/>
      <c r="D23" s="111"/>
      <c r="E23" s="111"/>
      <c r="F23" s="6"/>
      <c r="G23" s="6"/>
      <c r="H23" s="6"/>
      <c r="I23" s="6"/>
      <c r="J23" s="6"/>
      <c r="K23" s="6"/>
      <c r="L23" s="6"/>
      <c r="M23" s="6"/>
      <c r="N23" s="6"/>
      <c r="O23" s="6"/>
      <c r="P23" s="6"/>
      <c r="Q23" s="6"/>
      <c r="R23" s="6"/>
      <c r="S23" s="6"/>
      <c r="T23" s="6"/>
      <c r="U23" s="6"/>
      <c r="V23" s="6"/>
      <c r="W23" s="6"/>
      <c r="X23" s="6"/>
      <c r="Y23" s="6"/>
      <c r="Z23" s="6"/>
      <c r="AA23" s="6"/>
      <c r="AB23" s="6"/>
      <c r="AC23" s="7"/>
    </row>
    <row r="24" spans="1:29" ht="15.6" customHeight="1" x14ac:dyDescent="0.3">
      <c r="A24" s="1" t="s">
        <v>34</v>
      </c>
      <c r="B24" s="117"/>
      <c r="C24" s="111"/>
      <c r="D24" s="111"/>
      <c r="E24" s="111"/>
      <c r="F24" s="6"/>
      <c r="G24" s="6"/>
      <c r="H24" s="6"/>
      <c r="I24" s="6"/>
      <c r="J24" s="6"/>
      <c r="K24" s="6"/>
      <c r="L24" s="6"/>
      <c r="M24" s="6"/>
      <c r="N24" s="6"/>
      <c r="O24" s="6"/>
      <c r="P24" s="6"/>
      <c r="Q24" s="6"/>
      <c r="R24" s="6"/>
      <c r="S24" s="6"/>
      <c r="T24" s="6"/>
      <c r="U24" s="6"/>
      <c r="V24" s="6"/>
      <c r="W24" s="6"/>
      <c r="X24" s="6"/>
      <c r="Y24" s="6"/>
      <c r="Z24" s="6"/>
      <c r="AA24" s="6"/>
      <c r="AB24" s="6"/>
      <c r="AC24" s="7"/>
    </row>
    <row r="25" spans="1:29" ht="31.2" customHeight="1" x14ac:dyDescent="0.3">
      <c r="A25" s="8" t="s">
        <v>670</v>
      </c>
      <c r="B25" s="326"/>
      <c r="C25" s="327"/>
      <c r="D25" s="327"/>
      <c r="E25" s="328"/>
      <c r="F25" s="2"/>
      <c r="G25" s="2"/>
      <c r="H25" s="2"/>
      <c r="I25" s="2"/>
      <c r="J25" s="2"/>
      <c r="K25" s="2"/>
      <c r="L25" s="2"/>
      <c r="M25" s="2"/>
      <c r="N25" s="2"/>
      <c r="O25" s="2"/>
      <c r="P25" s="2"/>
      <c r="Q25" s="2"/>
      <c r="R25" s="2"/>
      <c r="S25" s="2"/>
      <c r="T25" s="2"/>
      <c r="U25" s="6"/>
      <c r="V25" s="6"/>
      <c r="W25" s="6"/>
      <c r="X25" s="6"/>
      <c r="Y25" s="6"/>
      <c r="Z25" s="2"/>
      <c r="AA25" s="2"/>
      <c r="AB25" s="2"/>
    </row>
    <row r="26" spans="1:29" ht="31.2" customHeight="1" x14ac:dyDescent="0.3">
      <c r="A26" s="8" t="s">
        <v>671</v>
      </c>
      <c r="B26" s="326"/>
      <c r="C26" s="327"/>
      <c r="D26" s="327"/>
      <c r="E26" s="328"/>
    </row>
    <row r="27" spans="1:29" ht="15.6" customHeight="1" x14ac:dyDescent="0.3">
      <c r="B27" s="111"/>
      <c r="C27" s="111"/>
      <c r="D27" s="111"/>
      <c r="E27" s="111"/>
      <c r="F27" s="6"/>
      <c r="G27" s="6"/>
      <c r="H27" s="6"/>
      <c r="I27" s="6"/>
      <c r="J27" s="6"/>
      <c r="K27" s="6"/>
      <c r="L27" s="6"/>
      <c r="M27" s="6"/>
      <c r="N27" s="6"/>
      <c r="O27" s="6"/>
      <c r="P27" s="6"/>
      <c r="Q27" s="6"/>
      <c r="R27" s="6"/>
      <c r="S27" s="6"/>
      <c r="T27" s="6"/>
      <c r="U27" s="6"/>
      <c r="V27" s="6"/>
      <c r="W27" s="6"/>
      <c r="X27" s="6"/>
      <c r="Y27" s="6"/>
      <c r="Z27" s="6"/>
      <c r="AA27" s="6"/>
      <c r="AB27" s="6"/>
      <c r="AC27" s="7"/>
    </row>
    <row r="28" spans="1:29" ht="31.2" customHeight="1" x14ac:dyDescent="0.3">
      <c r="A28" s="5" t="s">
        <v>696</v>
      </c>
      <c r="B28" s="326"/>
      <c r="C28" s="327"/>
      <c r="D28" s="327"/>
      <c r="E28" s="328"/>
      <c r="F28" s="6"/>
      <c r="G28" s="6"/>
      <c r="H28" s="6"/>
      <c r="I28" s="6"/>
      <c r="J28" s="6"/>
      <c r="K28" s="6"/>
      <c r="L28" s="6"/>
      <c r="M28" s="6"/>
      <c r="N28" s="6"/>
      <c r="O28" s="6"/>
      <c r="P28" s="6"/>
      <c r="Q28" s="6"/>
      <c r="R28" s="6"/>
      <c r="S28" s="6"/>
      <c r="T28" s="6"/>
      <c r="U28" s="6"/>
      <c r="V28" s="6"/>
      <c r="W28" s="35">
        <f>IF(AND(OR(R.A.3&lt;&gt;"",RA3.Tipo&lt;&gt;"",RA3.Reut&lt;&gt;"",RA3.ESCO&lt;&gt;"",RA3.OCap&lt;&gt;""),OR(R.A.3="",RA3.Tipo="",RA3.Reut="",AND(RA3.ESCO="",RA3.OCap=""))),1,0)</f>
        <v>0</v>
      </c>
      <c r="X28" s="6"/>
      <c r="Y28" s="6"/>
      <c r="Z28" s="6"/>
      <c r="AA28" s="6"/>
      <c r="AB28" s="6"/>
      <c r="AC28" s="7"/>
    </row>
    <row r="29" spans="1:29" ht="15.6" customHeight="1" x14ac:dyDescent="0.3">
      <c r="A29" s="1" t="s">
        <v>33</v>
      </c>
      <c r="B29" s="117"/>
      <c r="C29" s="111"/>
      <c r="D29" s="111"/>
      <c r="E29" s="111"/>
      <c r="F29" s="6"/>
      <c r="G29" s="6"/>
      <c r="H29" s="6"/>
      <c r="I29" s="6"/>
      <c r="J29" s="6"/>
      <c r="K29" s="6"/>
      <c r="L29" s="6"/>
      <c r="M29" s="6"/>
      <c r="N29" s="6"/>
      <c r="O29" s="6"/>
      <c r="P29" s="6"/>
      <c r="Q29" s="6"/>
      <c r="R29" s="6"/>
      <c r="S29" s="6"/>
      <c r="T29" s="6"/>
      <c r="U29" s="6"/>
      <c r="V29" s="6"/>
      <c r="W29" s="6"/>
      <c r="X29" s="6"/>
      <c r="Y29" s="6"/>
      <c r="Z29" s="6"/>
      <c r="AA29" s="6"/>
      <c r="AB29" s="6"/>
      <c r="AC29" s="7"/>
    </row>
    <row r="30" spans="1:29" ht="15.6" customHeight="1" x14ac:dyDescent="0.3">
      <c r="A30" s="1" t="s">
        <v>34</v>
      </c>
      <c r="B30" s="117"/>
      <c r="C30" s="111"/>
      <c r="D30" s="111"/>
      <c r="E30" s="111"/>
      <c r="F30" s="6"/>
      <c r="G30" s="6"/>
      <c r="H30" s="6"/>
      <c r="I30" s="6"/>
      <c r="J30" s="6"/>
      <c r="K30" s="6"/>
      <c r="L30" s="6"/>
      <c r="M30" s="6"/>
      <c r="N30" s="6"/>
      <c r="O30" s="6"/>
      <c r="P30" s="6"/>
      <c r="Q30" s="6"/>
      <c r="R30" s="6"/>
      <c r="S30" s="6"/>
      <c r="T30" s="6"/>
      <c r="U30" s="6"/>
      <c r="V30" s="6"/>
      <c r="W30" s="6"/>
      <c r="X30" s="6"/>
      <c r="Y30" s="6"/>
      <c r="Z30" s="6"/>
      <c r="AA30" s="6"/>
      <c r="AB30" s="6"/>
      <c r="AC30" s="7"/>
    </row>
    <row r="31" spans="1:29" ht="31.2" customHeight="1" x14ac:dyDescent="0.3">
      <c r="A31" s="8" t="s">
        <v>670</v>
      </c>
      <c r="B31" s="326"/>
      <c r="C31" s="327"/>
      <c r="D31" s="327"/>
      <c r="E31" s="328"/>
      <c r="F31" s="2"/>
      <c r="G31" s="2"/>
      <c r="H31" s="2"/>
      <c r="I31" s="2"/>
      <c r="J31" s="2"/>
      <c r="K31" s="2"/>
      <c r="L31" s="2"/>
      <c r="M31" s="2"/>
      <c r="N31" s="2"/>
      <c r="O31" s="2"/>
      <c r="P31" s="2"/>
      <c r="Q31" s="2"/>
      <c r="R31" s="2"/>
      <c r="S31" s="2"/>
      <c r="T31" s="2"/>
      <c r="U31" s="6"/>
      <c r="V31" s="6"/>
      <c r="W31" s="6"/>
      <c r="X31" s="6"/>
      <c r="Y31" s="6"/>
      <c r="Z31" s="2"/>
      <c r="AA31" s="2"/>
      <c r="AB31" s="2"/>
    </row>
    <row r="32" spans="1:29" ht="31.2" customHeight="1" x14ac:dyDescent="0.3">
      <c r="A32" s="8" t="s">
        <v>671</v>
      </c>
      <c r="B32" s="326"/>
      <c r="C32" s="327"/>
      <c r="D32" s="327"/>
      <c r="E32" s="328"/>
    </row>
    <row r="33" spans="1:29" x14ac:dyDescent="0.3">
      <c r="B33" s="111"/>
      <c r="C33" s="111"/>
      <c r="D33" s="111"/>
      <c r="E33" s="111"/>
      <c r="F33" s="6"/>
      <c r="G33" s="6"/>
      <c r="H33" s="6"/>
      <c r="I33" s="6"/>
      <c r="J33" s="6"/>
      <c r="K33" s="6"/>
      <c r="L33" s="6"/>
      <c r="M33" s="6"/>
      <c r="N33" s="6"/>
      <c r="O33" s="6"/>
      <c r="P33" s="6"/>
      <c r="Q33" s="6"/>
      <c r="R33" s="6"/>
      <c r="S33" s="6"/>
      <c r="T33" s="6"/>
      <c r="U33" s="6"/>
      <c r="V33" s="6"/>
      <c r="W33" s="6"/>
      <c r="X33" s="6"/>
      <c r="Y33" s="6"/>
      <c r="Z33" s="6"/>
      <c r="AA33" s="6"/>
      <c r="AB33" s="6"/>
      <c r="AC33" s="7"/>
    </row>
    <row r="34" spans="1:29" ht="31.2" customHeight="1" x14ac:dyDescent="0.3">
      <c r="A34" s="5" t="s">
        <v>695</v>
      </c>
      <c r="B34" s="326"/>
      <c r="C34" s="327"/>
      <c r="D34" s="327"/>
      <c r="E34" s="328"/>
      <c r="F34" s="6"/>
      <c r="G34" s="6"/>
      <c r="H34" s="6"/>
      <c r="I34" s="6"/>
      <c r="J34" s="6"/>
      <c r="K34" s="6"/>
      <c r="L34" s="6"/>
      <c r="M34" s="6"/>
      <c r="N34" s="6"/>
      <c r="O34" s="6"/>
      <c r="P34" s="6"/>
      <c r="Q34" s="6"/>
      <c r="R34" s="6"/>
      <c r="S34" s="6"/>
      <c r="T34" s="6"/>
      <c r="U34" s="6"/>
      <c r="V34" s="6"/>
      <c r="W34" s="35">
        <f>IF(AND(OR(R.A.4&lt;&gt;"",RA4.Tipo&lt;&gt;"",RA4.Reut&lt;&gt;"",RA4.ESCO&lt;&gt;"",RA4.OCap&lt;&gt;""),OR(R.A.4="",RA4.Tipo="",RA4.Reut="",AND(RA4.ESCO="",RA4.OCap=""))),1,0)</f>
        <v>0</v>
      </c>
      <c r="X34" s="6"/>
      <c r="Y34" s="6"/>
      <c r="Z34" s="6"/>
      <c r="AA34" s="6"/>
      <c r="AB34" s="6"/>
      <c r="AC34" s="7"/>
    </row>
    <row r="35" spans="1:29" x14ac:dyDescent="0.3">
      <c r="A35" s="1" t="s">
        <v>33</v>
      </c>
      <c r="B35" s="117"/>
      <c r="C35" s="111"/>
      <c r="D35" s="111"/>
      <c r="E35" s="111"/>
      <c r="F35" s="6"/>
      <c r="G35" s="6"/>
      <c r="H35" s="6"/>
      <c r="I35" s="6"/>
      <c r="J35" s="6"/>
      <c r="K35" s="6"/>
      <c r="L35" s="6"/>
      <c r="M35" s="6"/>
      <c r="N35" s="6"/>
      <c r="O35" s="6"/>
      <c r="P35" s="6"/>
      <c r="Q35" s="6"/>
      <c r="R35" s="6"/>
      <c r="S35" s="6"/>
      <c r="T35" s="6"/>
      <c r="U35" s="6"/>
      <c r="V35" s="6"/>
      <c r="W35" s="6"/>
      <c r="X35" s="6"/>
      <c r="Y35" s="6"/>
      <c r="Z35" s="6"/>
      <c r="AA35" s="6"/>
      <c r="AB35" s="6"/>
      <c r="AC35" s="7"/>
    </row>
    <row r="36" spans="1:29" x14ac:dyDescent="0.3">
      <c r="A36" s="1" t="s">
        <v>34</v>
      </c>
      <c r="B36" s="117"/>
      <c r="C36" s="111"/>
      <c r="D36" s="111"/>
      <c r="E36" s="111"/>
      <c r="F36" s="6"/>
      <c r="G36" s="6"/>
      <c r="H36" s="6"/>
      <c r="I36" s="6"/>
      <c r="J36" s="6"/>
      <c r="K36" s="6"/>
      <c r="L36" s="6"/>
      <c r="M36" s="6"/>
      <c r="N36" s="6"/>
      <c r="O36" s="6"/>
      <c r="P36" s="6"/>
      <c r="Q36" s="6"/>
      <c r="R36" s="6"/>
      <c r="S36" s="6"/>
      <c r="T36" s="6"/>
      <c r="U36" s="6"/>
      <c r="V36" s="6"/>
      <c r="W36" s="6"/>
      <c r="X36" s="6"/>
      <c r="Y36" s="6"/>
      <c r="Z36" s="6"/>
      <c r="AA36" s="6"/>
      <c r="AB36" s="6"/>
      <c r="AC36" s="7"/>
    </row>
    <row r="37" spans="1:29" ht="31.2" customHeight="1" x14ac:dyDescent="0.3">
      <c r="A37" s="8" t="s">
        <v>670</v>
      </c>
      <c r="B37" s="326"/>
      <c r="C37" s="327"/>
      <c r="D37" s="327"/>
      <c r="E37" s="328"/>
      <c r="F37" s="2"/>
      <c r="G37" s="2"/>
      <c r="H37" s="2"/>
      <c r="I37" s="2"/>
      <c r="J37" s="2"/>
      <c r="K37" s="2"/>
      <c r="L37" s="2"/>
      <c r="M37" s="2"/>
      <c r="N37" s="2"/>
      <c r="O37" s="2"/>
      <c r="P37" s="2"/>
      <c r="Q37" s="2"/>
      <c r="R37" s="2"/>
      <c r="S37" s="2"/>
      <c r="T37" s="2"/>
      <c r="U37" s="6"/>
      <c r="V37" s="6"/>
      <c r="W37" s="6"/>
      <c r="X37" s="6"/>
      <c r="Y37" s="6"/>
      <c r="Z37" s="2"/>
      <c r="AA37" s="2"/>
      <c r="AB37" s="2"/>
    </row>
    <row r="38" spans="1:29" ht="31.2" customHeight="1" x14ac:dyDescent="0.3">
      <c r="A38" s="8" t="s">
        <v>671</v>
      </c>
      <c r="B38" s="326"/>
      <c r="C38" s="327"/>
      <c r="D38" s="327"/>
      <c r="E38" s="328"/>
    </row>
    <row r="39" spans="1:29" x14ac:dyDescent="0.3">
      <c r="B39" s="111"/>
      <c r="C39" s="111"/>
      <c r="D39" s="111"/>
      <c r="E39" s="111"/>
      <c r="F39" s="6"/>
      <c r="G39" s="6"/>
      <c r="H39" s="6"/>
      <c r="I39" s="6"/>
      <c r="J39" s="6"/>
      <c r="K39" s="6"/>
      <c r="L39" s="6"/>
      <c r="M39" s="6"/>
      <c r="N39" s="6"/>
      <c r="O39" s="6"/>
      <c r="P39" s="6"/>
      <c r="Q39" s="6"/>
      <c r="R39" s="6"/>
      <c r="S39" s="6"/>
      <c r="T39" s="6"/>
      <c r="U39" s="6"/>
      <c r="V39" s="6"/>
      <c r="W39" s="6"/>
      <c r="X39" s="6"/>
      <c r="Y39" s="6"/>
      <c r="Z39" s="6"/>
      <c r="AA39" s="6"/>
      <c r="AB39" s="6"/>
      <c r="AC39" s="7"/>
    </row>
    <row r="40" spans="1:29" ht="31.2" customHeight="1" x14ac:dyDescent="0.3">
      <c r="A40" s="5" t="s">
        <v>694</v>
      </c>
      <c r="B40" s="326"/>
      <c r="C40" s="327"/>
      <c r="D40" s="327"/>
      <c r="E40" s="328"/>
      <c r="F40" s="6"/>
      <c r="G40" s="6"/>
      <c r="H40" s="6"/>
      <c r="I40" s="6"/>
      <c r="J40" s="6"/>
      <c r="K40" s="6"/>
      <c r="L40" s="6"/>
      <c r="M40" s="6"/>
      <c r="N40" s="6"/>
      <c r="O40" s="6"/>
      <c r="P40" s="6"/>
      <c r="Q40" s="6"/>
      <c r="R40" s="6"/>
      <c r="S40" s="6"/>
      <c r="T40" s="6"/>
      <c r="U40" s="6"/>
      <c r="V40" s="6"/>
      <c r="W40" s="35">
        <f>IF(AND(OR(R.A.5&lt;&gt;"",RA5.Tipo&lt;&gt;"",RA5.Reut&lt;&gt;"",RA5.ESCO&lt;&gt;"",RA5.OCap&lt;&gt;""),OR(R.A.5="",RA5.Tipo="",RA5.Reut="",AND(RA5.ESCO="",RA5.OCap=""))),1,0)</f>
        <v>0</v>
      </c>
      <c r="X40" s="6"/>
      <c r="Y40" s="6"/>
      <c r="Z40" s="6"/>
      <c r="AA40" s="6"/>
      <c r="AB40" s="6"/>
      <c r="AC40" s="7"/>
    </row>
    <row r="41" spans="1:29" x14ac:dyDescent="0.3">
      <c r="A41" s="1" t="s">
        <v>33</v>
      </c>
      <c r="B41" s="117"/>
      <c r="C41" s="111"/>
      <c r="D41" s="111"/>
      <c r="E41" s="111"/>
      <c r="F41" s="6"/>
      <c r="G41" s="6"/>
      <c r="H41" s="6"/>
      <c r="I41" s="6"/>
      <c r="J41" s="6"/>
      <c r="K41" s="6"/>
      <c r="L41" s="6"/>
      <c r="M41" s="6"/>
      <c r="N41" s="6"/>
      <c r="O41" s="6"/>
      <c r="P41" s="6"/>
      <c r="Q41" s="6"/>
      <c r="R41" s="6"/>
      <c r="S41" s="6"/>
      <c r="T41" s="6"/>
      <c r="U41" s="6"/>
      <c r="V41" s="6"/>
      <c r="W41" s="6"/>
      <c r="X41" s="6"/>
      <c r="Y41" s="6"/>
      <c r="Z41" s="6"/>
      <c r="AA41" s="6"/>
      <c r="AB41" s="6"/>
      <c r="AC41" s="7"/>
    </row>
    <row r="42" spans="1:29" x14ac:dyDescent="0.3">
      <c r="A42" s="1" t="s">
        <v>34</v>
      </c>
      <c r="B42" s="117"/>
      <c r="C42" s="111"/>
      <c r="D42" s="111"/>
      <c r="E42" s="111"/>
      <c r="F42" s="6"/>
      <c r="G42" s="6"/>
      <c r="H42" s="6"/>
      <c r="I42" s="6"/>
      <c r="J42" s="6"/>
      <c r="K42" s="6"/>
      <c r="L42" s="6"/>
      <c r="M42" s="6"/>
      <c r="N42" s="6"/>
      <c r="O42" s="6"/>
      <c r="P42" s="6"/>
      <c r="Q42" s="6"/>
      <c r="R42" s="6"/>
      <c r="S42" s="6"/>
      <c r="T42" s="6"/>
      <c r="U42" s="6"/>
      <c r="V42" s="6"/>
      <c r="W42" s="6"/>
      <c r="X42" s="6"/>
      <c r="Y42" s="6"/>
      <c r="Z42" s="6"/>
      <c r="AA42" s="6"/>
      <c r="AB42" s="6"/>
      <c r="AC42" s="7"/>
    </row>
    <row r="43" spans="1:29" ht="31.2" customHeight="1" x14ac:dyDescent="0.3">
      <c r="A43" s="8" t="s">
        <v>670</v>
      </c>
      <c r="B43" s="326"/>
      <c r="C43" s="327"/>
      <c r="D43" s="327"/>
      <c r="E43" s="328"/>
      <c r="F43" s="2"/>
      <c r="G43" s="2"/>
      <c r="H43" s="2"/>
      <c r="I43" s="2"/>
      <c r="J43" s="2"/>
      <c r="K43" s="2"/>
      <c r="L43" s="2"/>
      <c r="M43" s="2"/>
      <c r="N43" s="2"/>
      <c r="O43" s="2"/>
      <c r="P43" s="2"/>
      <c r="Q43" s="2"/>
      <c r="R43" s="2"/>
      <c r="S43" s="2"/>
      <c r="T43" s="2"/>
      <c r="U43" s="6"/>
      <c r="V43" s="6"/>
      <c r="W43" s="6"/>
      <c r="X43" s="6"/>
      <c r="Y43" s="6"/>
      <c r="Z43" s="2"/>
      <c r="AA43" s="2"/>
      <c r="AB43" s="2"/>
    </row>
    <row r="44" spans="1:29" ht="31.2" customHeight="1" x14ac:dyDescent="0.3">
      <c r="A44" s="8" t="s">
        <v>671</v>
      </c>
      <c r="B44" s="326"/>
      <c r="C44" s="327"/>
      <c r="D44" s="327"/>
      <c r="E44" s="328"/>
    </row>
    <row r="45" spans="1:29" x14ac:dyDescent="0.3">
      <c r="W45" s="35">
        <f>SUM(W16:W40)</f>
        <v>1</v>
      </c>
      <c r="X45" s="35" t="s">
        <v>365</v>
      </c>
    </row>
    <row r="50" spans="1:29" x14ac:dyDescent="0.3">
      <c r="A50" s="8"/>
      <c r="B50" s="112"/>
      <c r="C50" s="112"/>
      <c r="D50" s="112"/>
      <c r="E50" s="112"/>
    </row>
    <row r="51" spans="1:29" x14ac:dyDescent="0.3">
      <c r="A51" s="325" t="s">
        <v>80</v>
      </c>
      <c r="B51" s="325"/>
      <c r="C51" s="325"/>
      <c r="D51" s="325"/>
      <c r="E51" s="325"/>
      <c r="F51" s="6"/>
      <c r="G51" s="6"/>
      <c r="H51" s="6"/>
      <c r="I51" s="6"/>
      <c r="J51" s="6"/>
      <c r="K51" s="6"/>
      <c r="L51" s="6"/>
      <c r="M51" s="6"/>
      <c r="N51" s="6"/>
      <c r="O51" s="6"/>
      <c r="P51" s="6"/>
      <c r="Q51" s="6"/>
      <c r="R51" s="6"/>
      <c r="S51" s="6"/>
      <c r="T51" s="6"/>
      <c r="U51" s="6"/>
      <c r="V51" s="6"/>
      <c r="W51" s="6"/>
      <c r="X51" s="6"/>
      <c r="Y51" s="6"/>
      <c r="Z51" s="6"/>
      <c r="AA51" s="6"/>
      <c r="AB51" s="6"/>
      <c r="AC51" s="7"/>
    </row>
    <row r="52" spans="1:29" x14ac:dyDescent="0.3">
      <c r="F52" s="6"/>
      <c r="G52" s="6"/>
      <c r="H52" s="6"/>
      <c r="I52" s="6"/>
      <c r="J52" s="6"/>
      <c r="K52" s="6"/>
      <c r="L52" s="6"/>
      <c r="M52" s="6"/>
      <c r="N52" s="6"/>
      <c r="O52" s="6"/>
      <c r="P52" s="6"/>
      <c r="Q52" s="6"/>
      <c r="R52" s="6"/>
      <c r="S52" s="6"/>
      <c r="T52" s="6"/>
      <c r="U52" s="6"/>
      <c r="V52" s="6"/>
      <c r="W52" s="6"/>
      <c r="X52" s="6"/>
      <c r="Y52" s="6"/>
      <c r="Z52" s="6"/>
      <c r="AA52" s="6"/>
      <c r="AB52" s="6"/>
      <c r="AC52" s="7"/>
    </row>
    <row r="53" spans="1:29" ht="31.2" customHeight="1" x14ac:dyDescent="0.3">
      <c r="A53" s="84" t="s">
        <v>164</v>
      </c>
      <c r="B53" s="321"/>
      <c r="C53" s="322"/>
      <c r="D53" s="322"/>
      <c r="E53" s="323"/>
      <c r="F53" s="6"/>
      <c r="G53" s="6"/>
      <c r="H53" s="6"/>
      <c r="I53" s="6"/>
      <c r="J53" s="6"/>
      <c r="K53" s="6"/>
      <c r="L53" s="6"/>
      <c r="M53" s="6"/>
      <c r="N53" s="6"/>
      <c r="O53" s="6"/>
      <c r="P53" s="6"/>
      <c r="Q53" s="6"/>
      <c r="R53" s="6"/>
      <c r="S53" s="6"/>
      <c r="T53" s="6"/>
      <c r="U53" s="6"/>
      <c r="V53" s="6"/>
      <c r="W53" s="6">
        <f>IF(AND(Actividad1&lt;&gt;"",DescAct1&lt;&gt;"",TipoApren1&lt;&gt;"",DirAct1&lt;&gt;"",ModAct1&lt;&gt;"",TipoDAct1&lt;&gt;"",HProf1&lt;&gt;"",Horas1&lt;&gt;""),0,1)</f>
        <v>1</v>
      </c>
      <c r="X53" s="6" t="s">
        <v>366</v>
      </c>
      <c r="Y53" s="6"/>
      <c r="Z53" s="6"/>
      <c r="AA53" s="6"/>
      <c r="AB53" s="6"/>
      <c r="AC53" s="7"/>
    </row>
    <row r="54" spans="1:29" ht="31.2" customHeight="1" x14ac:dyDescent="0.3">
      <c r="A54" s="9" t="s">
        <v>165</v>
      </c>
      <c r="B54" s="321"/>
      <c r="C54" s="322"/>
      <c r="D54" s="322"/>
      <c r="E54" s="323"/>
      <c r="F54" s="6"/>
      <c r="G54" s="6"/>
      <c r="H54" s="6"/>
      <c r="I54" s="6"/>
      <c r="J54" s="6"/>
      <c r="K54" s="6"/>
      <c r="L54" s="6"/>
      <c r="M54" s="6"/>
      <c r="N54" s="6"/>
      <c r="O54" s="6"/>
      <c r="P54" s="6"/>
      <c r="Q54" s="6"/>
      <c r="R54" s="6"/>
      <c r="S54" s="6"/>
      <c r="T54" s="6"/>
      <c r="U54" s="6"/>
      <c r="V54" s="6"/>
      <c r="W54" s="6"/>
      <c r="X54" s="6"/>
      <c r="Y54" s="6"/>
      <c r="Z54" s="6"/>
      <c r="AA54" s="6"/>
      <c r="AB54" s="6"/>
      <c r="AC54" s="7"/>
    </row>
    <row r="55" spans="1:29" ht="15.6" customHeight="1" x14ac:dyDescent="0.3">
      <c r="A55" s="8" t="s">
        <v>36</v>
      </c>
      <c r="B55" s="118"/>
      <c r="C55" s="4" t="s">
        <v>29</v>
      </c>
      <c r="D55" s="329"/>
      <c r="E55" s="330"/>
      <c r="F55" s="6"/>
      <c r="G55" s="6"/>
      <c r="H55" s="6"/>
      <c r="I55" s="6"/>
      <c r="J55" s="6"/>
      <c r="K55" s="6"/>
      <c r="L55" s="6"/>
      <c r="M55" s="6"/>
      <c r="N55" s="6"/>
      <c r="O55" s="6"/>
      <c r="P55" s="6"/>
      <c r="Q55" s="6"/>
      <c r="R55" s="6"/>
      <c r="S55" s="6"/>
      <c r="T55" s="6"/>
      <c r="U55" s="6"/>
      <c r="V55" s="6"/>
      <c r="W55" s="6"/>
      <c r="X55" s="6"/>
      <c r="Y55" s="6"/>
      <c r="Z55" s="6"/>
      <c r="AA55" s="6"/>
      <c r="AB55" s="6"/>
      <c r="AC55" s="7"/>
    </row>
    <row r="56" spans="1:29" ht="31.2" customHeight="1" x14ac:dyDescent="0.3">
      <c r="A56" s="9" t="s">
        <v>52</v>
      </c>
      <c r="B56" s="119"/>
      <c r="C56" s="95" t="s">
        <v>77</v>
      </c>
      <c r="D56" s="260"/>
      <c r="E56" s="6"/>
      <c r="F56" s="6"/>
      <c r="G56" s="6"/>
      <c r="H56" s="6"/>
      <c r="I56" s="6"/>
      <c r="J56" s="6"/>
      <c r="K56" s="6"/>
      <c r="L56" s="6"/>
      <c r="M56" s="6"/>
      <c r="N56" s="6"/>
      <c r="O56" s="6"/>
      <c r="P56" s="6"/>
      <c r="Q56" s="6"/>
      <c r="R56" s="6"/>
      <c r="S56" s="6"/>
      <c r="T56" s="6"/>
      <c r="U56" s="6"/>
      <c r="V56" s="6"/>
      <c r="W56" s="6"/>
      <c r="X56" s="6"/>
      <c r="Y56" s="6"/>
      <c r="Z56" s="7"/>
    </row>
    <row r="57" spans="1:29" ht="31.2" customHeight="1" x14ac:dyDescent="0.3">
      <c r="A57" s="324" t="s">
        <v>76</v>
      </c>
      <c r="B57" s="324"/>
      <c r="C57" s="324"/>
      <c r="D57" s="12"/>
      <c r="F57" s="6"/>
      <c r="G57" s="6"/>
      <c r="H57" s="6"/>
      <c r="I57" s="6"/>
      <c r="J57" s="6"/>
      <c r="K57" s="6"/>
      <c r="L57" s="6"/>
      <c r="M57" s="6"/>
      <c r="N57" s="6"/>
      <c r="O57" s="6"/>
      <c r="P57" s="6"/>
      <c r="Q57" s="6"/>
      <c r="R57" s="6"/>
      <c r="S57" s="6"/>
      <c r="T57" s="6"/>
      <c r="U57" s="6"/>
      <c r="V57" s="6"/>
      <c r="W57" s="6"/>
      <c r="X57" s="6"/>
      <c r="Y57" s="6"/>
      <c r="Z57" s="6"/>
      <c r="AA57" s="6"/>
      <c r="AB57" s="6"/>
      <c r="AC57" s="7"/>
    </row>
    <row r="58" spans="1:29" ht="31.2" customHeight="1" x14ac:dyDescent="0.3">
      <c r="A58" s="324" t="s">
        <v>53</v>
      </c>
      <c r="B58" s="324"/>
      <c r="C58" s="324"/>
      <c r="D58" s="12"/>
      <c r="F58" s="6"/>
      <c r="G58" s="6"/>
      <c r="H58" s="6"/>
      <c r="I58" s="6"/>
      <c r="J58" s="6"/>
      <c r="K58" s="6"/>
      <c r="L58" s="6"/>
      <c r="M58" s="6"/>
      <c r="N58" s="6"/>
      <c r="O58" s="6"/>
      <c r="P58" s="6"/>
      <c r="Q58" s="6"/>
      <c r="R58" s="6"/>
      <c r="S58" s="6"/>
      <c r="T58" s="6"/>
      <c r="U58" s="6"/>
      <c r="V58" s="6"/>
      <c r="W58" s="6">
        <f>W53+SUM(W60:W121)</f>
        <v>1</v>
      </c>
      <c r="X58" s="6" t="s">
        <v>367</v>
      </c>
      <c r="Y58" s="6"/>
      <c r="Z58" s="6"/>
      <c r="AA58" s="6"/>
      <c r="AB58" s="6"/>
      <c r="AC58" s="7"/>
    </row>
    <row r="59" spans="1:29" x14ac:dyDescent="0.3">
      <c r="F59" s="6"/>
      <c r="G59" s="6"/>
      <c r="H59" s="6"/>
      <c r="I59" s="6"/>
      <c r="J59" s="6"/>
      <c r="K59" s="6"/>
      <c r="L59" s="6"/>
      <c r="M59" s="6"/>
      <c r="N59" s="6"/>
      <c r="O59" s="6"/>
      <c r="P59" s="6"/>
      <c r="Q59" s="6"/>
      <c r="R59" s="6"/>
      <c r="S59" s="6"/>
      <c r="T59" s="6"/>
      <c r="U59" s="6"/>
      <c r="V59" s="6"/>
      <c r="W59" s="6"/>
      <c r="X59" s="6"/>
      <c r="Y59" s="6"/>
      <c r="Z59" s="6"/>
      <c r="AA59" s="6"/>
      <c r="AB59" s="6"/>
      <c r="AC59" s="7"/>
    </row>
    <row r="60" spans="1:29" ht="31.2" customHeight="1" x14ac:dyDescent="0.3">
      <c r="A60" s="5" t="s">
        <v>166</v>
      </c>
      <c r="B60" s="321"/>
      <c r="C60" s="322"/>
      <c r="D60" s="322"/>
      <c r="E60" s="323"/>
      <c r="F60" s="6"/>
      <c r="G60" s="6"/>
      <c r="H60" s="6"/>
      <c r="I60" s="6"/>
      <c r="J60" s="6"/>
      <c r="K60" s="6"/>
      <c r="L60" s="6"/>
      <c r="M60" s="6"/>
      <c r="N60" s="6"/>
      <c r="O60" s="6"/>
      <c r="P60" s="6"/>
      <c r="Q60" s="6"/>
      <c r="R60" s="6"/>
      <c r="S60" s="6"/>
      <c r="T60" s="6"/>
      <c r="U60" s="6"/>
      <c r="V60" s="6"/>
      <c r="W60" s="6">
        <f>IF(AND(OR(Actividad2&lt;&gt;"",DescAct2&lt;&gt;"",TipoApren2&lt;&gt;"",DirAct2&lt;&gt;"",ModAct2&lt;&gt;"",TipoDAct2&lt;&gt;"",HProf2&lt;&gt;"",Horas2&lt;&gt;""),OR(Actividad2="",DescAct2="",TipoApren2="",DirAct2="",ModAct2="",TipoDAct2="",HProf2="",Horas2="")),1,0)</f>
        <v>0</v>
      </c>
    </row>
    <row r="61" spans="1:29" ht="31.2" customHeight="1" x14ac:dyDescent="0.3">
      <c r="A61" s="9" t="s">
        <v>165</v>
      </c>
      <c r="B61" s="321"/>
      <c r="C61" s="322"/>
      <c r="D61" s="322"/>
      <c r="E61" s="323"/>
      <c r="F61" s="6"/>
      <c r="G61" s="6"/>
      <c r="H61" s="6"/>
      <c r="I61" s="6"/>
      <c r="J61" s="6"/>
      <c r="K61" s="6"/>
      <c r="L61" s="6"/>
      <c r="M61" s="6"/>
      <c r="N61" s="6"/>
      <c r="O61" s="6"/>
      <c r="P61" s="6"/>
      <c r="Q61" s="6"/>
      <c r="R61" s="6"/>
      <c r="S61" s="6"/>
      <c r="T61" s="6"/>
      <c r="U61" s="6"/>
      <c r="V61" s="6"/>
      <c r="W61" s="6"/>
      <c r="X61" s="6"/>
      <c r="Y61" s="6"/>
      <c r="Z61" s="6"/>
      <c r="AA61" s="6"/>
      <c r="AB61" s="6"/>
      <c r="AC61" s="7"/>
    </row>
    <row r="62" spans="1:29" ht="15.6" customHeight="1" x14ac:dyDescent="0.3">
      <c r="A62" s="8" t="s">
        <v>36</v>
      </c>
      <c r="B62" s="118"/>
      <c r="C62" s="4" t="s">
        <v>29</v>
      </c>
      <c r="D62" s="329"/>
      <c r="E62" s="330"/>
      <c r="F62" s="6"/>
      <c r="G62" s="6"/>
      <c r="H62" s="6"/>
      <c r="I62" s="6"/>
      <c r="J62" s="6"/>
      <c r="K62" s="6"/>
      <c r="L62" s="6"/>
      <c r="M62" s="6"/>
      <c r="N62" s="6"/>
      <c r="O62" s="6"/>
      <c r="P62" s="6"/>
      <c r="Q62" s="6"/>
      <c r="R62" s="6"/>
      <c r="S62" s="6"/>
      <c r="T62" s="6"/>
      <c r="U62" s="6"/>
      <c r="V62" s="6"/>
      <c r="W62" s="6"/>
      <c r="X62" s="6"/>
    </row>
    <row r="63" spans="1:29" ht="31.2" customHeight="1" x14ac:dyDescent="0.3">
      <c r="A63" s="9" t="s">
        <v>52</v>
      </c>
      <c r="B63" s="119"/>
      <c r="C63" s="95" t="s">
        <v>77</v>
      </c>
      <c r="D63" s="261"/>
      <c r="F63" s="6"/>
      <c r="G63" s="6"/>
      <c r="H63" s="6"/>
      <c r="I63" s="6"/>
      <c r="J63" s="6"/>
      <c r="K63" s="6"/>
      <c r="L63" s="6"/>
      <c r="M63" s="6"/>
      <c r="N63" s="6"/>
      <c r="O63" s="6"/>
      <c r="P63" s="6"/>
      <c r="Q63" s="6"/>
      <c r="R63" s="6"/>
      <c r="S63" s="6"/>
      <c r="T63" s="6"/>
      <c r="U63" s="6"/>
      <c r="V63" s="6"/>
      <c r="W63" s="6"/>
      <c r="X63" s="6"/>
    </row>
    <row r="64" spans="1:29" ht="31.2" customHeight="1" x14ac:dyDescent="0.3">
      <c r="A64" s="324" t="s">
        <v>76</v>
      </c>
      <c r="B64" s="324"/>
      <c r="C64" s="324"/>
      <c r="D64" s="12"/>
      <c r="F64" s="6"/>
      <c r="G64" s="6"/>
      <c r="H64" s="6"/>
      <c r="I64" s="6"/>
      <c r="J64" s="6"/>
      <c r="K64" s="6"/>
      <c r="L64" s="6"/>
      <c r="M64" s="6"/>
      <c r="N64" s="6"/>
      <c r="O64" s="6"/>
      <c r="P64" s="6"/>
      <c r="Q64" s="6"/>
      <c r="R64" s="6"/>
      <c r="S64" s="6"/>
      <c r="T64" s="6"/>
      <c r="U64" s="6"/>
      <c r="V64" s="6"/>
      <c r="W64" s="6"/>
      <c r="X64" s="6"/>
      <c r="Y64" s="6"/>
      <c r="Z64" s="6"/>
      <c r="AA64" s="6"/>
      <c r="AB64" s="6"/>
      <c r="AC64" s="7"/>
    </row>
    <row r="65" spans="1:29" ht="31.2" customHeight="1" x14ac:dyDescent="0.3">
      <c r="A65" s="324" t="s">
        <v>53</v>
      </c>
      <c r="B65" s="324"/>
      <c r="C65" s="324"/>
      <c r="D65" s="12"/>
      <c r="F65" s="6"/>
      <c r="G65" s="6"/>
      <c r="H65" s="6"/>
      <c r="I65" s="6"/>
      <c r="J65" s="6"/>
      <c r="K65" s="6"/>
      <c r="L65" s="6"/>
      <c r="M65" s="6"/>
      <c r="N65" s="6"/>
      <c r="O65" s="6"/>
      <c r="P65" s="6"/>
      <c r="Q65" s="6"/>
      <c r="R65" s="6"/>
      <c r="S65" s="6"/>
      <c r="T65" s="6"/>
      <c r="U65" s="6"/>
      <c r="V65" s="6"/>
      <c r="W65" s="6"/>
      <c r="X65" s="6"/>
    </row>
    <row r="66" spans="1:29" x14ac:dyDescent="0.3">
      <c r="A66" s="6"/>
      <c r="B66" s="6"/>
      <c r="C66" s="6"/>
      <c r="D66" s="6"/>
      <c r="E66" s="6"/>
      <c r="F66" s="6"/>
      <c r="G66" s="6"/>
      <c r="H66" s="6"/>
      <c r="I66" s="6"/>
      <c r="J66" s="6"/>
      <c r="K66" s="6"/>
      <c r="L66" s="6"/>
      <c r="M66" s="6"/>
      <c r="N66" s="6"/>
      <c r="O66" s="6"/>
      <c r="P66" s="6"/>
      <c r="Q66" s="6"/>
      <c r="R66" s="6"/>
      <c r="S66" s="6"/>
      <c r="T66" s="6"/>
      <c r="U66" s="6"/>
      <c r="V66" s="6"/>
      <c r="W66" s="6"/>
      <c r="X66" s="6"/>
    </row>
    <row r="67" spans="1:29" ht="31.2" customHeight="1" x14ac:dyDescent="0.3">
      <c r="A67" s="5" t="s">
        <v>167</v>
      </c>
      <c r="B67" s="321"/>
      <c r="C67" s="322"/>
      <c r="D67" s="322"/>
      <c r="E67" s="323"/>
      <c r="F67" s="6"/>
      <c r="G67" s="6"/>
      <c r="H67" s="6"/>
      <c r="I67" s="6"/>
      <c r="J67" s="6"/>
      <c r="K67" s="6"/>
      <c r="L67" s="6"/>
      <c r="M67" s="6"/>
      <c r="N67" s="6"/>
      <c r="O67" s="6"/>
      <c r="P67" s="6"/>
      <c r="Q67" s="6"/>
      <c r="R67" s="6"/>
      <c r="S67" s="6"/>
      <c r="T67" s="6"/>
      <c r="U67" s="6"/>
      <c r="V67" s="6"/>
      <c r="W67" s="6">
        <f>IF(AND(OR(Actividad3&lt;&gt;"",DescAct3&lt;&gt;"",TipoApren3&lt;&gt;"",DirAct3&lt;&gt;"",ModAct3&lt;&gt;"",TipoDAct3&lt;&gt;"",HProf3&lt;&gt;"",Horas3&lt;&gt;""),OR(Actividad3="",DescAct3="",TipoApren3="",DirAct3="",ModAct3="",TipoDAct3="",HProf3="",Horas3="")),1,0)</f>
        <v>0</v>
      </c>
      <c r="X67" s="6"/>
    </row>
    <row r="68" spans="1:29" ht="31.2" customHeight="1" x14ac:dyDescent="0.3">
      <c r="A68" s="9" t="s">
        <v>165</v>
      </c>
      <c r="B68" s="321"/>
      <c r="C68" s="322"/>
      <c r="D68" s="322"/>
      <c r="E68" s="323"/>
      <c r="F68" s="6"/>
      <c r="G68" s="6"/>
      <c r="H68" s="6"/>
      <c r="I68" s="6"/>
      <c r="J68" s="6"/>
      <c r="K68" s="6"/>
      <c r="L68" s="6"/>
      <c r="M68" s="6"/>
      <c r="N68" s="6"/>
      <c r="O68" s="6"/>
      <c r="P68" s="6"/>
      <c r="Q68" s="6"/>
      <c r="R68" s="6"/>
      <c r="S68" s="6"/>
      <c r="T68" s="6"/>
      <c r="U68" s="6"/>
      <c r="V68" s="6"/>
      <c r="W68" s="6"/>
      <c r="X68" s="6"/>
      <c r="Y68" s="6"/>
      <c r="Z68" s="6"/>
      <c r="AA68" s="6"/>
      <c r="AB68" s="6"/>
      <c r="AC68" s="7"/>
    </row>
    <row r="69" spans="1:29" ht="15.6" customHeight="1" x14ac:dyDescent="0.3">
      <c r="A69" s="8" t="s">
        <v>36</v>
      </c>
      <c r="B69" s="118"/>
      <c r="C69" s="4" t="s">
        <v>29</v>
      </c>
      <c r="D69" s="329"/>
      <c r="E69" s="330"/>
      <c r="F69" s="6"/>
      <c r="G69" s="6"/>
      <c r="H69" s="6"/>
      <c r="I69" s="6"/>
      <c r="J69" s="6"/>
      <c r="K69" s="6"/>
      <c r="L69" s="6"/>
      <c r="M69" s="6"/>
      <c r="N69" s="6"/>
      <c r="O69" s="6"/>
      <c r="P69" s="6"/>
      <c r="Q69" s="6"/>
      <c r="R69" s="6"/>
      <c r="S69" s="6"/>
      <c r="T69" s="6"/>
      <c r="U69" s="6"/>
      <c r="V69" s="6"/>
      <c r="W69" s="6"/>
      <c r="X69" s="6"/>
    </row>
    <row r="70" spans="1:29" ht="31.2" customHeight="1" x14ac:dyDescent="0.3">
      <c r="A70" s="9" t="s">
        <v>52</v>
      </c>
      <c r="B70" s="119"/>
      <c r="C70" s="95" t="s">
        <v>77</v>
      </c>
      <c r="D70" s="261"/>
      <c r="F70" s="6"/>
      <c r="G70" s="6"/>
      <c r="H70" s="6"/>
      <c r="I70" s="6"/>
      <c r="J70" s="6"/>
      <c r="K70" s="6"/>
      <c r="L70" s="6"/>
      <c r="M70" s="6"/>
      <c r="N70" s="6"/>
      <c r="O70" s="6"/>
      <c r="P70" s="6"/>
      <c r="Q70" s="6"/>
      <c r="R70" s="6"/>
      <c r="S70" s="6"/>
      <c r="T70" s="6"/>
      <c r="U70" s="6"/>
      <c r="V70" s="6"/>
      <c r="W70" s="6"/>
      <c r="X70" s="6"/>
    </row>
    <row r="71" spans="1:29" ht="31.2" customHeight="1" x14ac:dyDescent="0.3">
      <c r="A71" s="324" t="s">
        <v>76</v>
      </c>
      <c r="B71" s="324"/>
      <c r="C71" s="324"/>
      <c r="D71" s="12"/>
      <c r="F71" s="6"/>
      <c r="G71" s="6"/>
      <c r="H71" s="6"/>
      <c r="I71" s="6"/>
      <c r="J71" s="6"/>
      <c r="K71" s="6"/>
      <c r="L71" s="6"/>
      <c r="M71" s="6"/>
      <c r="N71" s="6"/>
      <c r="O71" s="6"/>
      <c r="P71" s="6"/>
      <c r="Q71" s="6"/>
      <c r="R71" s="6"/>
      <c r="S71" s="6"/>
      <c r="T71" s="6"/>
      <c r="U71" s="6"/>
      <c r="V71" s="6"/>
      <c r="W71" s="6"/>
      <c r="X71" s="6"/>
      <c r="Y71" s="6"/>
      <c r="Z71" s="6"/>
      <c r="AA71" s="6"/>
      <c r="AB71" s="6"/>
      <c r="AC71" s="7"/>
    </row>
    <row r="72" spans="1:29" ht="31.2" customHeight="1" x14ac:dyDescent="0.3">
      <c r="A72" s="324" t="s">
        <v>53</v>
      </c>
      <c r="B72" s="324"/>
      <c r="C72" s="324"/>
      <c r="D72" s="12"/>
      <c r="F72" s="6"/>
      <c r="G72" s="6"/>
      <c r="H72" s="6"/>
      <c r="I72" s="6"/>
      <c r="J72" s="6"/>
      <c r="K72" s="6"/>
      <c r="L72" s="6"/>
      <c r="M72" s="6"/>
      <c r="N72" s="6"/>
      <c r="O72" s="6"/>
      <c r="P72" s="6"/>
      <c r="Q72" s="6"/>
      <c r="R72" s="6"/>
      <c r="S72" s="6"/>
      <c r="T72" s="6"/>
      <c r="U72" s="6"/>
      <c r="V72" s="6"/>
      <c r="W72" s="6"/>
      <c r="X72" s="6"/>
    </row>
    <row r="73" spans="1:29" x14ac:dyDescent="0.3">
      <c r="A73" s="6"/>
      <c r="B73" s="6"/>
      <c r="C73" s="6"/>
      <c r="D73" s="6"/>
      <c r="E73" s="6"/>
      <c r="F73" s="6"/>
      <c r="G73" s="6"/>
      <c r="H73" s="6"/>
      <c r="I73" s="6"/>
      <c r="J73" s="6"/>
      <c r="K73" s="6"/>
      <c r="L73" s="6"/>
      <c r="M73" s="6"/>
      <c r="N73" s="6"/>
      <c r="O73" s="6"/>
      <c r="P73" s="6"/>
      <c r="Q73" s="6"/>
      <c r="R73" s="6"/>
      <c r="S73" s="6"/>
      <c r="T73" s="6"/>
      <c r="U73" s="6"/>
      <c r="V73" s="6"/>
      <c r="W73" s="6"/>
      <c r="X73" s="6"/>
    </row>
    <row r="74" spans="1:29" ht="31.2" customHeight="1" x14ac:dyDescent="0.3">
      <c r="A74" s="5" t="s">
        <v>168</v>
      </c>
      <c r="B74" s="321"/>
      <c r="C74" s="322"/>
      <c r="D74" s="322"/>
      <c r="E74" s="323"/>
      <c r="F74" s="6"/>
      <c r="G74" s="6"/>
      <c r="H74" s="6"/>
      <c r="I74" s="6"/>
      <c r="J74" s="6"/>
      <c r="K74" s="6"/>
      <c r="L74" s="6"/>
      <c r="M74" s="6"/>
      <c r="N74" s="6"/>
      <c r="O74" s="6"/>
      <c r="P74" s="6"/>
      <c r="Q74" s="6"/>
      <c r="R74" s="6"/>
      <c r="S74" s="6"/>
      <c r="T74" s="6"/>
      <c r="U74" s="6"/>
      <c r="V74" s="6"/>
      <c r="W74" s="6">
        <f>IF(AND(OR(Actividad4&lt;&gt;"",DescAct4&lt;&gt;"",TipoApren4&lt;&gt;"",DirAct4&lt;&gt;"",ModAct4&lt;&gt;"",TipoDAct4&lt;&gt;"",HProf4&lt;&gt;"",Horas4&lt;&gt;""),OR(Actividad4="",DescAct4="",TipoApren4="",DirAct4="",ModAct4="",TipoDAct4="",HProf4="",Horas4="")),1,0)</f>
        <v>0</v>
      </c>
      <c r="X74" s="6"/>
    </row>
    <row r="75" spans="1:29" ht="31.2" customHeight="1" x14ac:dyDescent="0.3">
      <c r="A75" s="9" t="s">
        <v>165</v>
      </c>
      <c r="B75" s="321"/>
      <c r="C75" s="322"/>
      <c r="D75" s="322"/>
      <c r="E75" s="323"/>
      <c r="F75" s="6"/>
      <c r="G75" s="6"/>
      <c r="H75" s="6"/>
      <c r="I75" s="6"/>
      <c r="J75" s="6"/>
      <c r="K75" s="6"/>
      <c r="L75" s="6"/>
      <c r="M75" s="6"/>
      <c r="N75" s="6"/>
      <c r="O75" s="6"/>
      <c r="P75" s="6"/>
      <c r="Q75" s="6"/>
      <c r="R75" s="6"/>
      <c r="S75" s="6"/>
      <c r="T75" s="6"/>
      <c r="U75" s="6"/>
      <c r="V75" s="6"/>
      <c r="W75" s="6"/>
      <c r="X75" s="6"/>
      <c r="Y75" s="6"/>
      <c r="Z75" s="6"/>
      <c r="AA75" s="6"/>
      <c r="AB75" s="6"/>
      <c r="AC75" s="7"/>
    </row>
    <row r="76" spans="1:29" ht="15.6" customHeight="1" x14ac:dyDescent="0.3">
      <c r="A76" s="8" t="s">
        <v>36</v>
      </c>
      <c r="B76" s="118"/>
      <c r="C76" s="4" t="s">
        <v>29</v>
      </c>
      <c r="D76" s="329"/>
      <c r="E76" s="330"/>
      <c r="F76" s="6"/>
      <c r="G76" s="6"/>
      <c r="H76" s="6"/>
      <c r="I76" s="6"/>
      <c r="J76" s="6"/>
      <c r="K76" s="6"/>
      <c r="L76" s="6"/>
      <c r="M76" s="6"/>
      <c r="N76" s="6"/>
      <c r="O76" s="6"/>
      <c r="P76" s="6"/>
      <c r="Q76" s="6"/>
      <c r="R76" s="6"/>
      <c r="S76" s="6"/>
      <c r="T76" s="6"/>
      <c r="U76" s="6"/>
      <c r="V76" s="6"/>
      <c r="W76" s="6"/>
      <c r="X76" s="6"/>
    </row>
    <row r="77" spans="1:29" ht="31.2" customHeight="1" x14ac:dyDescent="0.3">
      <c r="A77" s="9" t="s">
        <v>52</v>
      </c>
      <c r="B77" s="119"/>
      <c r="C77" s="95" t="s">
        <v>77</v>
      </c>
      <c r="D77" s="261"/>
      <c r="F77" s="6"/>
      <c r="G77" s="6"/>
      <c r="H77" s="6"/>
      <c r="I77" s="6"/>
      <c r="J77" s="6"/>
      <c r="K77" s="6"/>
      <c r="L77" s="6"/>
      <c r="M77" s="6"/>
      <c r="N77" s="6"/>
      <c r="O77" s="6"/>
      <c r="P77" s="6"/>
      <c r="Q77" s="6"/>
      <c r="R77" s="6"/>
      <c r="S77" s="6"/>
      <c r="T77" s="6"/>
      <c r="U77" s="6"/>
      <c r="V77" s="6"/>
      <c r="W77" s="6"/>
      <c r="X77" s="6"/>
    </row>
    <row r="78" spans="1:29" ht="31.2" customHeight="1" x14ac:dyDescent="0.3">
      <c r="A78" s="324" t="s">
        <v>76</v>
      </c>
      <c r="B78" s="324"/>
      <c r="C78" s="324"/>
      <c r="D78" s="12"/>
      <c r="F78" s="6"/>
      <c r="G78" s="6"/>
      <c r="H78" s="6"/>
      <c r="I78" s="6"/>
      <c r="J78" s="6"/>
      <c r="K78" s="6"/>
      <c r="L78" s="6"/>
      <c r="M78" s="6"/>
      <c r="N78" s="6"/>
      <c r="O78" s="6"/>
      <c r="P78" s="6"/>
      <c r="Q78" s="6"/>
      <c r="R78" s="6"/>
      <c r="S78" s="6"/>
      <c r="T78" s="6"/>
      <c r="U78" s="6"/>
      <c r="V78" s="6"/>
      <c r="W78" s="6"/>
      <c r="X78" s="6"/>
      <c r="Y78" s="6"/>
      <c r="Z78" s="6"/>
      <c r="AA78" s="6"/>
      <c r="AB78" s="6"/>
      <c r="AC78" s="7"/>
    </row>
    <row r="79" spans="1:29" ht="31.2" customHeight="1" x14ac:dyDescent="0.3">
      <c r="A79" s="324" t="s">
        <v>53</v>
      </c>
      <c r="B79" s="324"/>
      <c r="C79" s="324"/>
      <c r="D79" s="12"/>
      <c r="F79" s="6"/>
      <c r="G79" s="6"/>
      <c r="H79" s="6"/>
      <c r="I79" s="6"/>
      <c r="J79" s="6"/>
      <c r="K79" s="6"/>
      <c r="L79" s="6"/>
      <c r="M79" s="6"/>
      <c r="N79" s="6"/>
      <c r="O79" s="6"/>
      <c r="P79" s="6"/>
      <c r="Q79" s="6"/>
      <c r="R79" s="6"/>
      <c r="S79" s="6"/>
      <c r="T79" s="6"/>
      <c r="U79" s="6"/>
      <c r="V79" s="6"/>
      <c r="W79" s="6"/>
      <c r="X79" s="6"/>
    </row>
    <row r="80" spans="1:29" x14ac:dyDescent="0.3">
      <c r="A80" s="4"/>
      <c r="B80" s="1"/>
      <c r="C80" s="1"/>
      <c r="D80" s="1"/>
      <c r="E80" s="1"/>
      <c r="F80" s="1"/>
      <c r="G80" s="1"/>
      <c r="H80" s="1"/>
      <c r="I80" s="1"/>
      <c r="J80" s="1"/>
      <c r="K80" s="1"/>
      <c r="L80" s="1"/>
      <c r="M80" s="1"/>
      <c r="N80" s="1"/>
      <c r="O80" s="1"/>
      <c r="P80" s="1"/>
      <c r="Q80" s="1"/>
      <c r="R80" s="1"/>
      <c r="S80" s="1"/>
      <c r="T80" s="1"/>
      <c r="U80" s="35"/>
    </row>
    <row r="81" spans="1:29" ht="31.2" customHeight="1" x14ac:dyDescent="0.3">
      <c r="A81" s="5" t="s">
        <v>169</v>
      </c>
      <c r="B81" s="321"/>
      <c r="C81" s="322"/>
      <c r="D81" s="322"/>
      <c r="E81" s="323"/>
      <c r="F81" s="1"/>
      <c r="G81" s="1"/>
      <c r="H81" s="1"/>
      <c r="I81" s="1"/>
      <c r="J81" s="1"/>
      <c r="K81" s="1"/>
      <c r="L81" s="1"/>
      <c r="M81" s="1"/>
      <c r="N81" s="1"/>
      <c r="O81" s="1"/>
      <c r="P81" s="1"/>
      <c r="Q81" s="1"/>
      <c r="R81" s="1"/>
      <c r="S81" s="1"/>
      <c r="T81" s="1"/>
      <c r="U81" s="35"/>
      <c r="W81" s="6">
        <f>IF(AND(OR(Actividad2&lt;&gt;"",DescAct2&lt;&gt;"",TipoApren2&lt;&gt;"",DirAct2&lt;&gt;"",ModAct2&lt;&gt;"",TipoDAct2&lt;&gt;"",HProf2&lt;&gt;"",Horas2&lt;&gt;""),OR(Actividad2="",DescAct2="",TipoApren2="",DirAct2="",ModAct2="",TipoDAct2="",HProf2="",Horas2="")),1,0)</f>
        <v>0</v>
      </c>
    </row>
    <row r="82" spans="1:29" ht="31.2" customHeight="1" x14ac:dyDescent="0.3">
      <c r="A82" s="9" t="s">
        <v>165</v>
      </c>
      <c r="B82" s="321"/>
      <c r="C82" s="322"/>
      <c r="D82" s="322"/>
      <c r="E82" s="323"/>
      <c r="F82" s="6"/>
      <c r="G82" s="6"/>
      <c r="H82" s="6"/>
      <c r="I82" s="6"/>
      <c r="J82" s="6"/>
      <c r="K82" s="6"/>
      <c r="L82" s="6"/>
      <c r="M82" s="6"/>
      <c r="N82" s="6"/>
      <c r="O82" s="6"/>
      <c r="P82" s="6"/>
      <c r="Q82" s="6"/>
      <c r="R82" s="6"/>
      <c r="S82" s="6"/>
      <c r="T82" s="6"/>
      <c r="U82" s="6"/>
      <c r="V82" s="6"/>
      <c r="W82" s="6"/>
      <c r="X82" s="6"/>
      <c r="Y82" s="6"/>
      <c r="Z82" s="6"/>
      <c r="AA82" s="6"/>
      <c r="AB82" s="6"/>
      <c r="AC82" s="7"/>
    </row>
    <row r="83" spans="1:29" ht="15.6" customHeight="1" x14ac:dyDescent="0.3">
      <c r="A83" s="8" t="s">
        <v>36</v>
      </c>
      <c r="B83" s="118"/>
      <c r="C83" s="4" t="s">
        <v>29</v>
      </c>
      <c r="D83" s="329"/>
      <c r="E83" s="330"/>
      <c r="F83" s="6"/>
      <c r="G83" s="6"/>
      <c r="H83" s="6"/>
      <c r="I83" s="6"/>
      <c r="J83" s="6"/>
      <c r="K83" s="6"/>
      <c r="L83" s="6"/>
      <c r="M83" s="6"/>
      <c r="N83" s="6"/>
      <c r="O83" s="6"/>
      <c r="P83" s="6"/>
      <c r="Q83" s="6"/>
      <c r="R83" s="6"/>
      <c r="S83" s="6"/>
      <c r="T83" s="6"/>
      <c r="U83" s="6"/>
      <c r="V83" s="6"/>
      <c r="W83" s="6"/>
      <c r="X83" s="6"/>
    </row>
    <row r="84" spans="1:29" ht="31.2" customHeight="1" x14ac:dyDescent="0.3">
      <c r="A84" s="9" t="s">
        <v>52</v>
      </c>
      <c r="B84" s="119"/>
      <c r="C84" s="95" t="s">
        <v>77</v>
      </c>
      <c r="D84" s="261"/>
      <c r="F84" s="6"/>
      <c r="G84" s="6"/>
      <c r="H84" s="6"/>
      <c r="I84" s="6"/>
      <c r="J84" s="6"/>
      <c r="K84" s="6"/>
      <c r="L84" s="6"/>
      <c r="M84" s="6"/>
      <c r="N84" s="6"/>
      <c r="O84" s="6"/>
      <c r="P84" s="6"/>
      <c r="Q84" s="6"/>
      <c r="R84" s="6"/>
      <c r="S84" s="6"/>
      <c r="T84" s="6"/>
      <c r="U84" s="6"/>
      <c r="V84" s="6"/>
      <c r="W84" s="6"/>
      <c r="X84" s="6"/>
    </row>
    <row r="85" spans="1:29" ht="31.2" customHeight="1" x14ac:dyDescent="0.3">
      <c r="A85" s="324" t="s">
        <v>76</v>
      </c>
      <c r="B85" s="324"/>
      <c r="C85" s="324"/>
      <c r="D85" s="12"/>
      <c r="F85" s="6"/>
      <c r="G85" s="6"/>
      <c r="H85" s="6"/>
      <c r="I85" s="6"/>
      <c r="J85" s="6"/>
      <c r="K85" s="6"/>
      <c r="L85" s="6"/>
      <c r="M85" s="6"/>
      <c r="N85" s="6"/>
      <c r="O85" s="6"/>
      <c r="P85" s="6"/>
      <c r="Q85" s="6"/>
      <c r="R85" s="6"/>
      <c r="S85" s="6"/>
      <c r="T85" s="6"/>
      <c r="U85" s="6"/>
      <c r="V85" s="6"/>
      <c r="W85" s="6"/>
      <c r="X85" s="6"/>
      <c r="Y85" s="6"/>
      <c r="Z85" s="6"/>
      <c r="AA85" s="6"/>
      <c r="AB85" s="6"/>
      <c r="AC85" s="7"/>
    </row>
    <row r="86" spans="1:29" ht="31.2" customHeight="1" x14ac:dyDescent="0.3">
      <c r="A86" s="324" t="s">
        <v>53</v>
      </c>
      <c r="B86" s="324"/>
      <c r="C86" s="324"/>
      <c r="D86" s="12"/>
      <c r="F86" s="6"/>
      <c r="G86" s="6"/>
      <c r="H86" s="6"/>
      <c r="I86" s="6"/>
      <c r="J86" s="6"/>
      <c r="K86" s="6"/>
      <c r="L86" s="6"/>
      <c r="M86" s="6"/>
      <c r="N86" s="6"/>
      <c r="O86" s="6"/>
      <c r="P86" s="6"/>
      <c r="Q86" s="6"/>
      <c r="R86" s="6"/>
      <c r="S86" s="6"/>
      <c r="T86" s="6"/>
      <c r="U86" s="6"/>
      <c r="V86" s="6"/>
      <c r="W86" s="6"/>
      <c r="X86" s="6"/>
    </row>
    <row r="87" spans="1:29" x14ac:dyDescent="0.3">
      <c r="A87" s="113"/>
      <c r="B87" s="113"/>
      <c r="C87" s="113"/>
      <c r="D87" s="114"/>
      <c r="F87" s="6"/>
      <c r="G87" s="6"/>
      <c r="H87" s="6"/>
      <c r="I87" s="6"/>
      <c r="J87" s="6"/>
      <c r="K87" s="6"/>
      <c r="L87" s="6"/>
      <c r="M87" s="6"/>
      <c r="N87" s="6"/>
      <c r="O87" s="6"/>
      <c r="P87" s="6"/>
      <c r="Q87" s="6"/>
      <c r="R87" s="6"/>
      <c r="S87" s="6"/>
      <c r="T87" s="6"/>
      <c r="U87" s="6"/>
      <c r="V87" s="6"/>
      <c r="W87" s="6"/>
      <c r="X87" s="6"/>
    </row>
    <row r="88" spans="1:29" ht="31.2" customHeight="1" x14ac:dyDescent="0.3">
      <c r="A88" s="5" t="s">
        <v>170</v>
      </c>
      <c r="B88" s="321"/>
      <c r="C88" s="322"/>
      <c r="D88" s="322"/>
      <c r="E88" s="323"/>
      <c r="F88" s="6"/>
      <c r="G88" s="6"/>
      <c r="H88" s="6"/>
      <c r="I88" s="6"/>
      <c r="J88" s="6"/>
      <c r="K88" s="6"/>
      <c r="L88" s="6"/>
      <c r="M88" s="6"/>
      <c r="N88" s="6"/>
      <c r="O88" s="6"/>
      <c r="P88" s="6"/>
      <c r="Q88" s="6"/>
      <c r="R88" s="6"/>
      <c r="S88" s="6"/>
      <c r="T88" s="6"/>
      <c r="U88" s="6"/>
      <c r="V88" s="6"/>
      <c r="W88" s="6">
        <f>IF(AND(OR(Actividad6&lt;&gt;"",DescAct6&lt;&gt;"",TipoApren6&lt;&gt;"",DirAct6&lt;&gt;"",ModAct6&lt;&gt;"",TipoDAct6&lt;&gt;"",HProf6&lt;&gt;"",Horas6&lt;&gt;""),OR(Actividad6="",DescAct6="",TipoApren6="",DirAct6="",ModAct6="",TipoDAct6="",HProf6="",Horas6="")),1,0)</f>
        <v>0</v>
      </c>
      <c r="X88" s="6"/>
    </row>
    <row r="89" spans="1:29" ht="31.2" customHeight="1" x14ac:dyDescent="0.3">
      <c r="A89" s="9" t="s">
        <v>165</v>
      </c>
      <c r="B89" s="321"/>
      <c r="C89" s="322"/>
      <c r="D89" s="322"/>
      <c r="E89" s="323"/>
      <c r="F89" s="6"/>
      <c r="G89" s="6"/>
      <c r="H89" s="6"/>
      <c r="I89" s="6"/>
      <c r="J89" s="6"/>
      <c r="K89" s="6"/>
      <c r="L89" s="6"/>
      <c r="M89" s="6"/>
      <c r="N89" s="6"/>
      <c r="O89" s="6"/>
      <c r="P89" s="6"/>
      <c r="Q89" s="6"/>
      <c r="R89" s="6"/>
      <c r="S89" s="6"/>
      <c r="T89" s="6"/>
      <c r="U89" s="6"/>
      <c r="V89" s="6"/>
      <c r="W89" s="6"/>
      <c r="X89" s="6"/>
    </row>
    <row r="90" spans="1:29" ht="15.6" customHeight="1" x14ac:dyDescent="0.3">
      <c r="A90" s="8" t="s">
        <v>36</v>
      </c>
      <c r="B90" s="118"/>
      <c r="C90" s="4" t="s">
        <v>29</v>
      </c>
      <c r="D90" s="329"/>
      <c r="E90" s="330"/>
      <c r="F90" s="6"/>
      <c r="G90" s="6"/>
      <c r="H90" s="6"/>
      <c r="I90" s="6"/>
      <c r="J90" s="6"/>
      <c r="K90" s="6"/>
      <c r="L90" s="6"/>
      <c r="M90" s="6"/>
      <c r="N90" s="6"/>
      <c r="O90" s="6"/>
      <c r="P90" s="6"/>
      <c r="Q90" s="6"/>
      <c r="R90" s="6"/>
      <c r="S90" s="6"/>
      <c r="T90" s="6"/>
      <c r="U90" s="6"/>
      <c r="V90" s="6"/>
      <c r="W90" s="6"/>
      <c r="X90" s="6"/>
    </row>
    <row r="91" spans="1:29" ht="31.2" customHeight="1" x14ac:dyDescent="0.3">
      <c r="A91" s="9" t="s">
        <v>52</v>
      </c>
      <c r="B91" s="119"/>
      <c r="C91" s="95" t="s">
        <v>77</v>
      </c>
      <c r="D91" s="261"/>
      <c r="F91" s="6"/>
      <c r="G91" s="6"/>
      <c r="H91" s="6"/>
      <c r="I91" s="6"/>
      <c r="J91" s="6"/>
      <c r="K91" s="6"/>
      <c r="L91" s="6"/>
      <c r="M91" s="6"/>
      <c r="N91" s="6"/>
      <c r="O91" s="6"/>
      <c r="P91" s="6"/>
      <c r="Q91" s="6"/>
      <c r="R91" s="6"/>
      <c r="S91" s="6"/>
      <c r="T91" s="6"/>
      <c r="U91" s="6"/>
      <c r="V91" s="6"/>
      <c r="W91" s="6"/>
      <c r="X91" s="6"/>
    </row>
    <row r="92" spans="1:29" ht="31.2" customHeight="1" x14ac:dyDescent="0.3">
      <c r="A92" s="324" t="s">
        <v>76</v>
      </c>
      <c r="B92" s="324"/>
      <c r="C92" s="324"/>
      <c r="D92" s="12"/>
      <c r="F92" s="6"/>
      <c r="G92" s="6"/>
      <c r="H92" s="6"/>
      <c r="I92" s="6"/>
      <c r="J92" s="6"/>
      <c r="K92" s="6"/>
      <c r="L92" s="6"/>
      <c r="M92" s="6"/>
      <c r="N92" s="6"/>
      <c r="O92" s="6"/>
      <c r="P92" s="6"/>
      <c r="Q92" s="6"/>
      <c r="R92" s="6"/>
      <c r="S92" s="6"/>
      <c r="T92" s="6"/>
      <c r="U92" s="6"/>
      <c r="V92" s="6"/>
      <c r="W92" s="6"/>
      <c r="X92" s="6"/>
    </row>
    <row r="93" spans="1:29" ht="31.2" customHeight="1" x14ac:dyDescent="0.3">
      <c r="A93" s="324" t="s">
        <v>53</v>
      </c>
      <c r="B93" s="324"/>
      <c r="C93" s="324"/>
      <c r="D93" s="12"/>
      <c r="F93" s="6"/>
      <c r="G93" s="6"/>
      <c r="H93" s="6"/>
      <c r="I93" s="6"/>
      <c r="J93" s="6"/>
      <c r="K93" s="6"/>
      <c r="L93" s="6"/>
      <c r="M93" s="6"/>
      <c r="N93" s="6"/>
      <c r="O93" s="6"/>
      <c r="P93" s="6"/>
      <c r="Q93" s="6"/>
      <c r="R93" s="6"/>
      <c r="S93" s="6"/>
      <c r="T93" s="6"/>
      <c r="U93" s="6"/>
      <c r="V93" s="6"/>
      <c r="W93" s="6"/>
      <c r="X93" s="6"/>
    </row>
    <row r="94" spans="1:29" x14ac:dyDescent="0.3">
      <c r="A94" s="113"/>
      <c r="B94" s="113"/>
      <c r="C94" s="113"/>
      <c r="D94" s="114"/>
      <c r="F94" s="6"/>
      <c r="G94" s="6"/>
      <c r="H94" s="6"/>
      <c r="I94" s="6"/>
      <c r="J94" s="6"/>
      <c r="K94" s="6"/>
      <c r="L94" s="6"/>
      <c r="M94" s="6"/>
      <c r="N94" s="6"/>
      <c r="O94" s="6"/>
      <c r="P94" s="6"/>
      <c r="Q94" s="6"/>
      <c r="R94" s="6"/>
      <c r="S94" s="6"/>
      <c r="T94" s="6"/>
      <c r="U94" s="6"/>
      <c r="V94" s="6"/>
      <c r="W94" s="6"/>
      <c r="X94" s="6"/>
    </row>
    <row r="95" spans="1:29" ht="31.2" customHeight="1" x14ac:dyDescent="0.3">
      <c r="A95" s="84" t="s">
        <v>171</v>
      </c>
      <c r="B95" s="321"/>
      <c r="C95" s="322"/>
      <c r="D95" s="322"/>
      <c r="E95" s="323"/>
      <c r="F95" s="6"/>
      <c r="G95" s="6"/>
      <c r="H95" s="6"/>
      <c r="I95" s="6"/>
      <c r="J95" s="6"/>
      <c r="K95" s="6"/>
      <c r="L95" s="6"/>
      <c r="M95" s="6"/>
      <c r="N95" s="6"/>
      <c r="O95" s="6"/>
      <c r="P95" s="6"/>
      <c r="Q95" s="6"/>
      <c r="R95" s="6"/>
      <c r="S95" s="6"/>
      <c r="T95" s="6"/>
      <c r="U95" s="6"/>
      <c r="V95" s="6"/>
      <c r="W95" s="6">
        <f>IF(AND(OR(Actividad7&lt;&gt;"",DescAct7&lt;&gt;"",TipoApren7&lt;&gt;"",DirAct7&lt;&gt;"",ModAct7&lt;&gt;"",TipoDAct7&lt;&gt;"",HProf7&lt;&gt;"",Horas7&lt;&gt;""),OR(Actividad7="",DescAct7="",TipoApren7="",DirAct7="",ModAct7="",TipoDAct7="",HProf7="",Horas7="")),1,0)</f>
        <v>0</v>
      </c>
      <c r="X95" s="6"/>
    </row>
    <row r="96" spans="1:29" ht="31.2" customHeight="1" x14ac:dyDescent="0.3">
      <c r="A96" s="9" t="s">
        <v>165</v>
      </c>
      <c r="B96" s="321"/>
      <c r="C96" s="322"/>
      <c r="D96" s="322"/>
      <c r="E96" s="323"/>
      <c r="F96" s="6"/>
      <c r="G96" s="6"/>
      <c r="H96" s="6"/>
      <c r="I96" s="6"/>
      <c r="J96" s="6"/>
      <c r="K96" s="6"/>
      <c r="L96" s="6"/>
      <c r="M96" s="6"/>
      <c r="N96" s="6"/>
      <c r="O96" s="6"/>
      <c r="P96" s="6"/>
      <c r="Q96" s="6"/>
      <c r="R96" s="6"/>
      <c r="S96" s="6"/>
      <c r="T96" s="6"/>
      <c r="U96" s="6"/>
      <c r="V96" s="6"/>
      <c r="W96" s="6"/>
      <c r="X96" s="6"/>
    </row>
    <row r="97" spans="1:24" ht="15.6" customHeight="1" x14ac:dyDescent="0.3">
      <c r="A97" s="8" t="s">
        <v>36</v>
      </c>
      <c r="B97" s="118"/>
      <c r="C97" s="4" t="s">
        <v>29</v>
      </c>
      <c r="D97" s="329"/>
      <c r="E97" s="330"/>
      <c r="F97" s="6"/>
      <c r="G97" s="6"/>
      <c r="H97" s="6"/>
      <c r="I97" s="6"/>
      <c r="J97" s="6"/>
      <c r="K97" s="6"/>
      <c r="L97" s="6"/>
      <c r="M97" s="6"/>
      <c r="N97" s="6"/>
      <c r="O97" s="6"/>
      <c r="P97" s="6"/>
      <c r="Q97" s="6"/>
      <c r="R97" s="6"/>
      <c r="S97" s="6"/>
      <c r="T97" s="6"/>
      <c r="U97" s="6"/>
      <c r="V97" s="6"/>
      <c r="W97" s="6"/>
      <c r="X97" s="6"/>
    </row>
    <row r="98" spans="1:24" ht="31.2" customHeight="1" x14ac:dyDescent="0.3">
      <c r="A98" s="9" t="s">
        <v>52</v>
      </c>
      <c r="B98" s="119"/>
      <c r="C98" s="95" t="s">
        <v>77</v>
      </c>
      <c r="D98" s="261"/>
      <c r="E98" s="6"/>
      <c r="F98" s="6"/>
      <c r="G98" s="6"/>
      <c r="H98" s="6"/>
      <c r="I98" s="6"/>
      <c r="J98" s="6"/>
      <c r="K98" s="6"/>
      <c r="L98" s="6"/>
      <c r="M98" s="6"/>
      <c r="N98" s="6"/>
      <c r="O98" s="6"/>
      <c r="P98" s="6"/>
      <c r="Q98" s="6"/>
      <c r="R98" s="6"/>
      <c r="S98" s="6"/>
      <c r="T98" s="6"/>
      <c r="U98" s="6"/>
      <c r="V98" s="6"/>
      <c r="W98" s="6"/>
      <c r="X98" s="6"/>
    </row>
    <row r="99" spans="1:24" ht="31.2" customHeight="1" x14ac:dyDescent="0.3">
      <c r="A99" s="324" t="s">
        <v>76</v>
      </c>
      <c r="B99" s="324"/>
      <c r="C99" s="324"/>
      <c r="D99" s="12"/>
      <c r="F99" s="6"/>
      <c r="G99" s="6"/>
      <c r="H99" s="6"/>
      <c r="I99" s="6"/>
      <c r="J99" s="6"/>
      <c r="K99" s="6"/>
      <c r="L99" s="6"/>
      <c r="M99" s="6"/>
      <c r="N99" s="6"/>
      <c r="O99" s="6"/>
      <c r="P99" s="6"/>
      <c r="Q99" s="6"/>
      <c r="R99" s="6"/>
      <c r="S99" s="6"/>
      <c r="T99" s="6"/>
      <c r="U99" s="6"/>
      <c r="V99" s="6"/>
      <c r="W99" s="6"/>
      <c r="X99" s="6"/>
    </row>
    <row r="100" spans="1:24" ht="31.2" customHeight="1" x14ac:dyDescent="0.3">
      <c r="A100" s="324" t="s">
        <v>53</v>
      </c>
      <c r="B100" s="324"/>
      <c r="C100" s="324"/>
      <c r="D100" s="12"/>
      <c r="F100" s="6"/>
      <c r="G100" s="6"/>
      <c r="H100" s="6"/>
      <c r="I100" s="6"/>
      <c r="J100" s="6"/>
      <c r="K100" s="6"/>
      <c r="L100" s="6"/>
      <c r="M100" s="6"/>
      <c r="N100" s="6"/>
      <c r="O100" s="6"/>
      <c r="P100" s="6"/>
      <c r="Q100" s="6"/>
      <c r="R100" s="6"/>
      <c r="S100" s="6"/>
      <c r="T100" s="6"/>
      <c r="U100" s="6"/>
      <c r="V100" s="6"/>
      <c r="W100" s="6"/>
      <c r="X100" s="6"/>
    </row>
    <row r="101" spans="1:24" x14ac:dyDescent="0.3">
      <c r="F101" s="6"/>
      <c r="G101" s="6"/>
      <c r="H101" s="6"/>
      <c r="I101" s="6"/>
      <c r="J101" s="6"/>
      <c r="K101" s="6"/>
      <c r="L101" s="6"/>
      <c r="M101" s="6"/>
      <c r="N101" s="6"/>
      <c r="O101" s="6"/>
      <c r="P101" s="6"/>
      <c r="Q101" s="6"/>
      <c r="R101" s="6"/>
      <c r="S101" s="6"/>
      <c r="T101" s="6"/>
      <c r="U101" s="6"/>
      <c r="V101" s="6"/>
      <c r="W101" s="6"/>
      <c r="X101" s="6"/>
    </row>
    <row r="102" spans="1:24" ht="31.2" customHeight="1" x14ac:dyDescent="0.3">
      <c r="A102" s="5" t="s">
        <v>172</v>
      </c>
      <c r="B102" s="321"/>
      <c r="C102" s="322"/>
      <c r="D102" s="322"/>
      <c r="E102" s="323"/>
      <c r="F102" s="6"/>
      <c r="G102" s="6"/>
      <c r="H102" s="6"/>
      <c r="I102" s="6"/>
      <c r="J102" s="6"/>
      <c r="K102" s="6"/>
      <c r="L102" s="6"/>
      <c r="M102" s="6"/>
      <c r="N102" s="6"/>
      <c r="O102" s="6"/>
      <c r="P102" s="6"/>
      <c r="Q102" s="6"/>
      <c r="R102" s="6"/>
      <c r="S102" s="6"/>
      <c r="T102" s="6"/>
      <c r="U102" s="6"/>
      <c r="V102" s="6"/>
      <c r="W102" s="6">
        <f>IF(AND(OR(Actividad8&lt;&gt;"",DescAct8&lt;&gt;"",TipoApren8&lt;&gt;"",DirAct8&lt;&gt;"",ModAct8&lt;&gt;"",TipoDAct8&lt;&gt;"",HProf8&lt;&gt;"",Horas8&lt;&gt;""),OR(Actividad8="",DescAct8="",TipoApren8="",DirAct8="",ModAct8="",TipoDAct8="",HProf8="",Horas8="")),1,0)</f>
        <v>0</v>
      </c>
      <c r="X102" s="6"/>
    </row>
    <row r="103" spans="1:24" ht="31.2" customHeight="1" x14ac:dyDescent="0.3">
      <c r="A103" s="9" t="s">
        <v>165</v>
      </c>
      <c r="B103" s="321"/>
      <c r="C103" s="322"/>
      <c r="D103" s="322"/>
      <c r="E103" s="323"/>
      <c r="F103" s="6"/>
      <c r="G103" s="6"/>
      <c r="H103" s="6"/>
      <c r="I103" s="6"/>
      <c r="J103" s="6"/>
      <c r="K103" s="6"/>
      <c r="L103" s="6"/>
      <c r="M103" s="6"/>
      <c r="N103" s="6"/>
      <c r="O103" s="6"/>
      <c r="P103" s="6"/>
      <c r="Q103" s="6"/>
      <c r="R103" s="6"/>
      <c r="S103" s="6"/>
      <c r="T103" s="6"/>
      <c r="U103" s="6"/>
      <c r="V103" s="6"/>
      <c r="W103" s="6"/>
      <c r="X103" s="6"/>
    </row>
    <row r="104" spans="1:24" ht="15.6" customHeight="1" x14ac:dyDescent="0.3">
      <c r="A104" s="8" t="s">
        <v>36</v>
      </c>
      <c r="B104" s="118"/>
      <c r="C104" s="4" t="s">
        <v>29</v>
      </c>
      <c r="D104" s="329"/>
      <c r="E104" s="330"/>
      <c r="F104" s="6"/>
      <c r="G104" s="6"/>
      <c r="H104" s="6"/>
      <c r="I104" s="6"/>
      <c r="J104" s="6"/>
      <c r="K104" s="6"/>
      <c r="L104" s="6"/>
      <c r="M104" s="6"/>
      <c r="N104" s="6"/>
      <c r="O104" s="6"/>
      <c r="P104" s="6"/>
      <c r="Q104" s="6"/>
      <c r="R104" s="6"/>
      <c r="S104" s="6"/>
      <c r="T104" s="6"/>
      <c r="U104" s="6"/>
      <c r="V104" s="6"/>
      <c r="W104" s="6"/>
      <c r="X104" s="6"/>
    </row>
    <row r="105" spans="1:24" ht="31.2" customHeight="1" x14ac:dyDescent="0.3">
      <c r="A105" s="9" t="s">
        <v>52</v>
      </c>
      <c r="B105" s="119"/>
      <c r="C105" s="95" t="s">
        <v>77</v>
      </c>
      <c r="D105" s="261"/>
      <c r="F105" s="6"/>
      <c r="G105" s="6"/>
      <c r="H105" s="6"/>
      <c r="I105" s="6"/>
      <c r="J105" s="6"/>
      <c r="K105" s="6"/>
      <c r="L105" s="6"/>
      <c r="M105" s="6"/>
      <c r="N105" s="6"/>
      <c r="O105" s="6"/>
      <c r="P105" s="6"/>
      <c r="Q105" s="6"/>
      <c r="R105" s="6"/>
      <c r="S105" s="6"/>
      <c r="T105" s="6"/>
      <c r="U105" s="6"/>
      <c r="V105" s="6"/>
      <c r="W105" s="6"/>
      <c r="X105" s="6"/>
    </row>
    <row r="106" spans="1:24" ht="31.2" customHeight="1" x14ac:dyDescent="0.3">
      <c r="A106" s="324" t="s">
        <v>76</v>
      </c>
      <c r="B106" s="324"/>
      <c r="C106" s="324"/>
      <c r="D106" s="12"/>
      <c r="F106" s="6"/>
      <c r="G106" s="6"/>
      <c r="H106" s="6"/>
      <c r="I106" s="6"/>
      <c r="J106" s="6"/>
      <c r="K106" s="6"/>
      <c r="L106" s="6"/>
      <c r="M106" s="6"/>
      <c r="N106" s="6"/>
      <c r="O106" s="6"/>
      <c r="P106" s="6"/>
      <c r="Q106" s="6"/>
      <c r="R106" s="6"/>
      <c r="S106" s="6"/>
      <c r="T106" s="6"/>
      <c r="U106" s="6"/>
      <c r="V106" s="6"/>
      <c r="W106" s="6"/>
      <c r="X106" s="6"/>
    </row>
    <row r="107" spans="1:24" ht="31.2" customHeight="1" x14ac:dyDescent="0.3">
      <c r="A107" s="324" t="s">
        <v>53</v>
      </c>
      <c r="B107" s="324"/>
      <c r="C107" s="324"/>
      <c r="D107" s="12"/>
      <c r="F107" s="6"/>
      <c r="G107" s="6"/>
      <c r="H107" s="6"/>
      <c r="I107" s="6"/>
      <c r="J107" s="6"/>
      <c r="K107" s="6"/>
      <c r="L107" s="6"/>
      <c r="M107" s="6"/>
      <c r="N107" s="6"/>
      <c r="O107" s="6"/>
      <c r="P107" s="6"/>
      <c r="Q107" s="6"/>
      <c r="R107" s="6"/>
      <c r="S107" s="6"/>
      <c r="T107" s="6"/>
      <c r="U107" s="6"/>
      <c r="V107" s="6"/>
      <c r="W107" s="6"/>
      <c r="X107" s="6"/>
    </row>
    <row r="108" spans="1:24" ht="27.6"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31.2" customHeight="1" x14ac:dyDescent="0.3">
      <c r="A109" s="5" t="s">
        <v>173</v>
      </c>
      <c r="B109" s="321"/>
      <c r="C109" s="322"/>
      <c r="D109" s="322"/>
      <c r="E109" s="323"/>
      <c r="F109" s="6"/>
      <c r="G109" s="6"/>
      <c r="H109" s="6"/>
      <c r="I109" s="6"/>
      <c r="J109" s="6"/>
      <c r="K109" s="6"/>
      <c r="L109" s="6"/>
      <c r="M109" s="6"/>
      <c r="N109" s="6"/>
      <c r="O109" s="6"/>
      <c r="P109" s="6"/>
      <c r="Q109" s="6"/>
      <c r="R109" s="6"/>
      <c r="S109" s="6"/>
      <c r="T109" s="6"/>
      <c r="U109" s="6"/>
      <c r="V109" s="6"/>
      <c r="W109" s="6">
        <f>IF(AND(OR(Actividad9&lt;&gt;"",DescAct9&lt;&gt;"",TipoApren9&lt;&gt;"",DirAct9&lt;&gt;"",ModAct9&lt;&gt;"",TipoDAct9&lt;&gt;"",HProf9&lt;&gt;"",Horas9&lt;&gt;""),OR(Actividad9="",DescAct9="",TipoApren9="",DirAct9="",ModAct9="",TipoDAct9="",HProf9="",Horas9="")),1,0)</f>
        <v>0</v>
      </c>
      <c r="X109" s="6"/>
    </row>
    <row r="110" spans="1:24" ht="31.2" customHeight="1" x14ac:dyDescent="0.3">
      <c r="A110" s="9" t="s">
        <v>165</v>
      </c>
      <c r="B110" s="321"/>
      <c r="C110" s="322"/>
      <c r="D110" s="322"/>
      <c r="E110" s="323"/>
      <c r="F110" s="6"/>
      <c r="G110" s="6"/>
      <c r="H110" s="6"/>
      <c r="I110" s="6"/>
      <c r="J110" s="6"/>
      <c r="K110" s="6"/>
      <c r="L110" s="6"/>
      <c r="M110" s="6"/>
      <c r="N110" s="6"/>
      <c r="O110" s="6"/>
      <c r="P110" s="6"/>
      <c r="Q110" s="6"/>
      <c r="R110" s="6"/>
      <c r="S110" s="6"/>
      <c r="T110" s="6"/>
      <c r="U110" s="6"/>
      <c r="V110" s="6"/>
      <c r="W110" s="6"/>
      <c r="X110" s="6"/>
    </row>
    <row r="111" spans="1:24" ht="15.6" customHeight="1" x14ac:dyDescent="0.3">
      <c r="A111" s="8" t="s">
        <v>36</v>
      </c>
      <c r="B111" s="118"/>
      <c r="C111" s="4" t="s">
        <v>29</v>
      </c>
      <c r="D111" s="329"/>
      <c r="E111" s="330"/>
      <c r="F111" s="6"/>
      <c r="G111" s="6"/>
      <c r="H111" s="6"/>
      <c r="I111" s="6"/>
      <c r="J111" s="6"/>
      <c r="K111" s="6"/>
      <c r="L111" s="6"/>
      <c r="M111" s="6"/>
      <c r="N111" s="6"/>
      <c r="O111" s="6"/>
      <c r="P111" s="6"/>
      <c r="Q111" s="6"/>
      <c r="R111" s="6"/>
      <c r="S111" s="6"/>
      <c r="T111" s="6"/>
      <c r="U111" s="6"/>
      <c r="V111" s="6"/>
      <c r="W111" s="6"/>
      <c r="X111" s="6"/>
    </row>
    <row r="112" spans="1:24" ht="31.2" customHeight="1" x14ac:dyDescent="0.3">
      <c r="A112" s="9" t="s">
        <v>52</v>
      </c>
      <c r="B112" s="119"/>
      <c r="C112" s="95" t="s">
        <v>77</v>
      </c>
      <c r="D112" s="261"/>
      <c r="F112" s="6"/>
      <c r="G112" s="6"/>
      <c r="H112" s="6"/>
      <c r="I112" s="6"/>
      <c r="J112" s="6"/>
      <c r="K112" s="6"/>
      <c r="L112" s="6"/>
      <c r="M112" s="6"/>
      <c r="N112" s="6"/>
      <c r="O112" s="6"/>
      <c r="P112" s="6"/>
      <c r="Q112" s="6"/>
      <c r="R112" s="6"/>
      <c r="S112" s="6"/>
      <c r="T112" s="6"/>
      <c r="U112" s="6"/>
      <c r="V112" s="6"/>
      <c r="W112" s="6"/>
      <c r="X112" s="6"/>
    </row>
    <row r="113" spans="1:29" ht="31.2" customHeight="1" x14ac:dyDescent="0.3">
      <c r="A113" s="324" t="s">
        <v>76</v>
      </c>
      <c r="B113" s="324"/>
      <c r="C113" s="324"/>
      <c r="D113" s="12"/>
      <c r="F113" s="6"/>
      <c r="G113" s="6"/>
      <c r="H113" s="6"/>
      <c r="I113" s="6"/>
      <c r="J113" s="6"/>
      <c r="K113" s="6"/>
      <c r="L113" s="6"/>
      <c r="M113" s="6"/>
      <c r="N113" s="6"/>
      <c r="O113" s="6"/>
      <c r="P113" s="6"/>
      <c r="Q113" s="6"/>
      <c r="R113" s="6"/>
      <c r="S113" s="6"/>
      <c r="T113" s="6"/>
      <c r="U113" s="6"/>
      <c r="V113" s="6"/>
      <c r="W113" s="6"/>
      <c r="X113" s="6"/>
    </row>
    <row r="114" spans="1:29" ht="31.2" customHeight="1" x14ac:dyDescent="0.3">
      <c r="A114" s="324" t="s">
        <v>53</v>
      </c>
      <c r="B114" s="324"/>
      <c r="C114" s="324"/>
      <c r="D114" s="12"/>
      <c r="F114" s="6"/>
      <c r="G114" s="6"/>
      <c r="H114" s="6"/>
      <c r="I114" s="6"/>
      <c r="J114" s="6"/>
      <c r="K114" s="6"/>
      <c r="L114" s="6"/>
      <c r="M114" s="6"/>
      <c r="N114" s="6"/>
      <c r="O114" s="6"/>
      <c r="P114" s="6"/>
      <c r="Q114" s="6"/>
      <c r="R114" s="6"/>
      <c r="S114" s="6"/>
      <c r="T114" s="6"/>
      <c r="U114" s="6"/>
      <c r="V114" s="6"/>
      <c r="W114" s="6"/>
      <c r="X114" s="6"/>
    </row>
    <row r="115" spans="1:29" ht="27.6"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9" ht="31.2" customHeight="1" x14ac:dyDescent="0.3">
      <c r="A116" s="5" t="s">
        <v>174</v>
      </c>
      <c r="B116" s="321"/>
      <c r="C116" s="322"/>
      <c r="D116" s="322"/>
      <c r="E116" s="323"/>
      <c r="F116" s="6"/>
      <c r="G116" s="6"/>
      <c r="H116" s="6"/>
      <c r="I116" s="6"/>
      <c r="J116" s="6"/>
      <c r="K116" s="6"/>
      <c r="L116" s="6"/>
      <c r="M116" s="6"/>
      <c r="N116" s="6"/>
      <c r="O116" s="6"/>
      <c r="P116" s="6"/>
      <c r="Q116" s="6"/>
      <c r="R116" s="6"/>
      <c r="S116" s="6"/>
      <c r="T116" s="6"/>
      <c r="U116" s="6"/>
      <c r="V116" s="6"/>
      <c r="W116" s="6">
        <f>IF(AND(OR(Actividad10&lt;&gt;"",DescAct10&lt;&gt;"",TipoApren10&lt;&gt;"",DirAct10&lt;&gt;"",ModAct10&lt;&gt;"",TipoDAct10&lt;&gt;"",HProf10&lt;&gt;"",Horas10&lt;&gt;""),OR(Actividad10="",DescAct10="",TipoApren10="",DirAct10="",ModAct10="",TipoDAct10="",HProf10="",Horas10="")),1,0)</f>
        <v>0</v>
      </c>
      <c r="X116" s="6"/>
    </row>
    <row r="117" spans="1:29" ht="31.2" customHeight="1" x14ac:dyDescent="0.3">
      <c r="A117" s="9" t="s">
        <v>165</v>
      </c>
      <c r="B117" s="321"/>
      <c r="C117" s="322"/>
      <c r="D117" s="322"/>
      <c r="E117" s="323"/>
      <c r="F117" s="6"/>
      <c r="G117" s="6"/>
      <c r="H117" s="6"/>
      <c r="I117" s="6"/>
      <c r="J117" s="6"/>
      <c r="K117" s="6"/>
      <c r="L117" s="6"/>
      <c r="M117" s="6"/>
      <c r="N117" s="6"/>
      <c r="O117" s="6"/>
      <c r="P117" s="6"/>
      <c r="Q117" s="6"/>
      <c r="R117" s="6"/>
      <c r="S117" s="6"/>
      <c r="T117" s="6"/>
      <c r="U117" s="6"/>
      <c r="V117" s="6"/>
      <c r="W117" s="6"/>
      <c r="X117" s="6"/>
    </row>
    <row r="118" spans="1:29" ht="15.6" customHeight="1" x14ac:dyDescent="0.3">
      <c r="A118" s="8" t="s">
        <v>36</v>
      </c>
      <c r="B118" s="118"/>
      <c r="C118" s="4" t="s">
        <v>29</v>
      </c>
      <c r="D118" s="329"/>
      <c r="E118" s="330"/>
      <c r="F118" s="6"/>
      <c r="G118" s="6"/>
      <c r="H118" s="6"/>
      <c r="I118" s="6"/>
      <c r="J118" s="6"/>
      <c r="K118" s="6"/>
      <c r="L118" s="6"/>
      <c r="M118" s="6"/>
      <c r="N118" s="6"/>
      <c r="O118" s="6"/>
      <c r="P118" s="6"/>
      <c r="Q118" s="6"/>
      <c r="R118" s="6"/>
      <c r="S118" s="6"/>
      <c r="T118" s="6"/>
      <c r="U118" s="6"/>
      <c r="V118" s="6"/>
      <c r="W118" s="6"/>
      <c r="X118" s="6"/>
    </row>
    <row r="119" spans="1:29" ht="31.2" customHeight="1" x14ac:dyDescent="0.3">
      <c r="A119" s="9" t="s">
        <v>52</v>
      </c>
      <c r="B119" s="119"/>
      <c r="C119" s="95" t="s">
        <v>77</v>
      </c>
      <c r="D119" s="261"/>
      <c r="F119" s="6"/>
      <c r="G119" s="6"/>
      <c r="H119" s="6"/>
      <c r="I119" s="6"/>
      <c r="J119" s="6"/>
      <c r="K119" s="6"/>
      <c r="L119" s="6"/>
      <c r="M119" s="6"/>
      <c r="N119" s="6"/>
      <c r="O119" s="6"/>
      <c r="P119" s="6"/>
      <c r="Q119" s="6"/>
      <c r="R119" s="6"/>
      <c r="S119" s="6"/>
      <c r="T119" s="6"/>
      <c r="U119" s="6"/>
      <c r="V119" s="6"/>
      <c r="W119" s="6"/>
      <c r="X119" s="6"/>
    </row>
    <row r="120" spans="1:29" ht="31.2" customHeight="1" x14ac:dyDescent="0.3">
      <c r="A120" s="324" t="s">
        <v>76</v>
      </c>
      <c r="B120" s="324"/>
      <c r="C120" s="324"/>
      <c r="D120" s="12"/>
      <c r="F120" s="6"/>
      <c r="G120" s="6"/>
      <c r="H120" s="6"/>
      <c r="I120" s="6"/>
      <c r="J120" s="6"/>
      <c r="K120" s="6"/>
      <c r="L120" s="6"/>
      <c r="M120" s="6"/>
      <c r="N120" s="6"/>
      <c r="O120" s="6"/>
      <c r="P120" s="6"/>
      <c r="Q120" s="6"/>
      <c r="R120" s="6"/>
      <c r="S120" s="6"/>
      <c r="T120" s="6"/>
      <c r="U120" s="6"/>
      <c r="V120" s="6"/>
      <c r="W120" s="6"/>
      <c r="X120" s="6"/>
    </row>
    <row r="121" spans="1:29" ht="31.2" customHeight="1" x14ac:dyDescent="0.3">
      <c r="A121" s="324" t="s">
        <v>53</v>
      </c>
      <c r="B121" s="324"/>
      <c r="C121" s="324"/>
      <c r="D121" s="12"/>
      <c r="F121" s="6"/>
      <c r="G121" s="6"/>
      <c r="H121" s="6"/>
      <c r="I121" s="6"/>
      <c r="J121" s="6"/>
      <c r="K121" s="6"/>
      <c r="L121" s="6"/>
      <c r="M121" s="6"/>
      <c r="N121" s="6"/>
      <c r="O121" s="6"/>
      <c r="P121" s="6"/>
      <c r="Q121" s="6"/>
      <c r="R121" s="6"/>
      <c r="S121" s="6"/>
      <c r="T121" s="6"/>
      <c r="U121" s="6"/>
      <c r="V121" s="6"/>
      <c r="W121" s="6"/>
      <c r="X121" s="6"/>
    </row>
    <row r="122" spans="1:29" ht="15.6" customHeight="1" x14ac:dyDescent="0.3">
      <c r="A122" s="113"/>
      <c r="B122" s="113"/>
      <c r="C122" s="113"/>
      <c r="D122" s="114"/>
      <c r="F122" s="6"/>
      <c r="G122" s="6"/>
      <c r="H122" s="6"/>
      <c r="I122" s="6"/>
      <c r="J122" s="6"/>
      <c r="K122" s="6"/>
      <c r="L122" s="6"/>
      <c r="M122" s="6"/>
      <c r="N122" s="6"/>
      <c r="O122" s="6"/>
      <c r="P122" s="6"/>
      <c r="Q122" s="6"/>
      <c r="R122" s="6"/>
      <c r="S122" s="6"/>
      <c r="T122" s="6"/>
      <c r="U122" s="6"/>
      <c r="V122" s="6"/>
      <c r="W122" s="6"/>
      <c r="X122" s="6"/>
    </row>
    <row r="123" spans="1:29" ht="15.6" customHeight="1" x14ac:dyDescent="0.3">
      <c r="A123" s="113"/>
      <c r="B123" s="113"/>
      <c r="C123" s="113"/>
      <c r="D123" s="114"/>
      <c r="F123" s="6"/>
      <c r="G123" s="6"/>
      <c r="H123" s="6"/>
      <c r="I123" s="6"/>
      <c r="J123" s="6"/>
      <c r="K123" s="6"/>
      <c r="L123" s="6"/>
      <c r="M123" s="6"/>
      <c r="N123" s="6"/>
      <c r="O123" s="6"/>
      <c r="P123" s="6"/>
      <c r="Q123" s="6"/>
      <c r="R123" s="6"/>
      <c r="S123" s="6"/>
      <c r="T123" s="6"/>
      <c r="U123" s="6"/>
      <c r="V123" s="6"/>
      <c r="W123" s="6"/>
      <c r="X123" s="6"/>
    </row>
    <row r="124" spans="1:29" ht="15.6" customHeight="1" x14ac:dyDescent="0.3">
      <c r="A124" s="113"/>
      <c r="B124" s="113"/>
      <c r="C124" s="113"/>
      <c r="D124" s="114"/>
      <c r="F124" s="6"/>
      <c r="G124" s="6"/>
      <c r="H124" s="6"/>
      <c r="I124" s="6"/>
      <c r="J124" s="6"/>
      <c r="K124" s="6"/>
      <c r="L124" s="6"/>
      <c r="M124" s="6"/>
      <c r="N124" s="6"/>
      <c r="O124" s="6"/>
      <c r="P124" s="6"/>
      <c r="Q124" s="6"/>
      <c r="R124" s="6"/>
      <c r="S124" s="6"/>
      <c r="T124" s="6"/>
      <c r="U124" s="6"/>
      <c r="V124" s="6"/>
      <c r="W124" s="6"/>
      <c r="X124" s="6"/>
    </row>
    <row r="125" spans="1:29" ht="15.6" customHeight="1" x14ac:dyDescent="0.3">
      <c r="A125" s="325" t="s">
        <v>38</v>
      </c>
      <c r="B125" s="325"/>
      <c r="C125" s="325"/>
      <c r="D125" s="325"/>
      <c r="E125" s="325"/>
      <c r="F125" s="6"/>
      <c r="G125" s="6"/>
      <c r="H125" s="6"/>
      <c r="I125" s="6"/>
      <c r="J125" s="6"/>
      <c r="K125" s="6"/>
      <c r="L125" s="6"/>
      <c r="M125" s="6"/>
      <c r="N125" s="6"/>
      <c r="O125" s="6"/>
      <c r="P125" s="6"/>
      <c r="Q125" s="6"/>
      <c r="R125" s="6"/>
      <c r="S125" s="6"/>
      <c r="T125" s="6"/>
      <c r="U125" s="6"/>
      <c r="V125" s="6"/>
      <c r="W125" s="6"/>
      <c r="X125" s="6"/>
      <c r="Y125" s="6"/>
      <c r="Z125" s="6"/>
      <c r="AA125" s="6"/>
      <c r="AB125" s="6"/>
      <c r="AC125" s="7"/>
    </row>
    <row r="126" spans="1:29" ht="15.6" customHeight="1" x14ac:dyDescent="0.3">
      <c r="F126" s="6"/>
      <c r="G126" s="6"/>
      <c r="H126" s="6"/>
      <c r="I126" s="6"/>
      <c r="J126" s="6"/>
      <c r="K126" s="6"/>
      <c r="L126" s="6"/>
      <c r="M126" s="6"/>
      <c r="N126" s="6"/>
      <c r="O126" s="6"/>
      <c r="P126" s="6"/>
      <c r="Q126" s="6"/>
      <c r="R126" s="6"/>
      <c r="S126" s="6"/>
      <c r="T126" s="6"/>
      <c r="U126" s="6"/>
      <c r="V126" s="6"/>
      <c r="W126" s="6"/>
      <c r="X126" s="6"/>
      <c r="Y126" s="6"/>
      <c r="Z126" s="6"/>
      <c r="AA126" s="6"/>
      <c r="AB126" s="6"/>
      <c r="AC126" s="7"/>
    </row>
    <row r="127" spans="1:29" ht="15.6" customHeight="1" x14ac:dyDescent="0.3">
      <c r="F127" s="6"/>
      <c r="G127" s="6"/>
      <c r="H127" s="6"/>
      <c r="I127" s="6"/>
      <c r="J127" s="6"/>
      <c r="K127" s="6"/>
      <c r="L127" s="6"/>
      <c r="M127" s="6"/>
      <c r="N127" s="6"/>
      <c r="O127" s="6"/>
      <c r="P127" s="6"/>
      <c r="Q127" s="6"/>
      <c r="R127" s="6"/>
      <c r="S127" s="6"/>
      <c r="T127" s="6"/>
      <c r="U127" s="6"/>
      <c r="V127" s="6"/>
      <c r="W127" s="6"/>
      <c r="X127" s="6"/>
      <c r="Y127" s="6"/>
      <c r="Z127" s="6"/>
      <c r="AA127" s="6"/>
      <c r="AB127" s="6"/>
      <c r="AC127" s="7"/>
    </row>
    <row r="128" spans="1:29" ht="31.2" customHeight="1" x14ac:dyDescent="0.3">
      <c r="A128" s="5" t="s">
        <v>54</v>
      </c>
      <c r="B128" s="318"/>
      <c r="C128" s="319"/>
      <c r="D128" s="319"/>
      <c r="E128" s="320"/>
      <c r="F128" s="6"/>
      <c r="G128" s="6"/>
      <c r="H128" s="6"/>
      <c r="I128" s="6"/>
      <c r="J128" s="6"/>
      <c r="K128" s="6"/>
      <c r="L128" s="6"/>
      <c r="M128" s="6"/>
      <c r="N128" s="6"/>
      <c r="O128" s="6"/>
      <c r="P128" s="6"/>
      <c r="Q128" s="6"/>
      <c r="R128" s="6"/>
      <c r="S128" s="6"/>
      <c r="T128" s="6"/>
      <c r="U128" s="6"/>
      <c r="V128" s="6"/>
      <c r="W128" s="6">
        <f>IF(AND(Eval1&lt;&gt;"",Eval1Tipo&lt;&gt;"",Eval1Mod&lt;&gt;"",Eval1Verif&lt;&gt;"",Eval1Calif&lt;&gt;""),0,1)</f>
        <v>1</v>
      </c>
      <c r="X128" s="6" t="s">
        <v>368</v>
      </c>
      <c r="Y128" s="6"/>
      <c r="Z128" s="6"/>
      <c r="AA128" s="6"/>
      <c r="AB128" s="6"/>
      <c r="AC128" s="7"/>
    </row>
    <row r="129" spans="1:29" ht="31.2" customHeight="1" x14ac:dyDescent="0.3">
      <c r="A129" s="9" t="s">
        <v>175</v>
      </c>
      <c r="B129" s="318"/>
      <c r="C129" s="319"/>
      <c r="D129" s="319"/>
      <c r="E129" s="320"/>
      <c r="F129" s="6"/>
      <c r="G129" s="6"/>
      <c r="H129" s="6"/>
      <c r="I129" s="6"/>
      <c r="J129" s="6"/>
      <c r="K129" s="6"/>
      <c r="L129" s="6"/>
      <c r="M129" s="6"/>
      <c r="N129" s="6"/>
      <c r="O129" s="6"/>
      <c r="P129" s="6"/>
      <c r="Q129" s="6"/>
      <c r="R129" s="6"/>
      <c r="S129" s="6"/>
      <c r="T129" s="6"/>
      <c r="U129" s="6"/>
      <c r="V129" s="6"/>
      <c r="W129" s="6">
        <f>SUM(W130:W156)+W128</f>
        <v>1</v>
      </c>
      <c r="X129" s="6" t="s">
        <v>369</v>
      </c>
      <c r="Y129" s="6"/>
      <c r="Z129" s="6"/>
      <c r="AA129" s="6"/>
      <c r="AB129" s="6"/>
      <c r="AC129" s="7"/>
    </row>
    <row r="130" spans="1:29" ht="31.2" customHeight="1" x14ac:dyDescent="0.3">
      <c r="A130" s="9" t="s">
        <v>56</v>
      </c>
      <c r="B130" s="119"/>
      <c r="C130" s="115"/>
      <c r="D130" s="115"/>
      <c r="E130" s="115"/>
      <c r="F130" s="6"/>
      <c r="G130" s="6"/>
      <c r="H130" s="6"/>
      <c r="I130" s="6"/>
      <c r="J130" s="6"/>
      <c r="K130" s="6"/>
      <c r="L130" s="6"/>
      <c r="M130" s="6"/>
      <c r="N130" s="6"/>
      <c r="O130" s="6"/>
      <c r="P130" s="6"/>
      <c r="Q130" s="6"/>
      <c r="R130" s="6"/>
      <c r="S130" s="6"/>
      <c r="T130" s="6"/>
      <c r="U130" s="6"/>
      <c r="V130" s="6"/>
      <c r="W130" s="6"/>
      <c r="X130" s="6"/>
      <c r="Y130" s="6"/>
      <c r="Z130" s="6"/>
      <c r="AA130" s="6"/>
      <c r="AB130" s="6"/>
      <c r="AC130" s="7"/>
    </row>
    <row r="131" spans="1:29" ht="15.6" customHeight="1" x14ac:dyDescent="0.3">
      <c r="A131" s="9" t="s">
        <v>39</v>
      </c>
      <c r="B131" s="11"/>
      <c r="C131" s="115"/>
      <c r="D131" s="115"/>
      <c r="E131" s="115"/>
      <c r="F131" s="6"/>
      <c r="G131" s="6"/>
      <c r="H131" s="6"/>
      <c r="I131" s="6"/>
      <c r="J131" s="6"/>
      <c r="K131" s="6"/>
      <c r="L131" s="6"/>
      <c r="M131" s="6"/>
      <c r="N131" s="6"/>
      <c r="O131" s="6"/>
      <c r="P131" s="6"/>
      <c r="Q131" s="6"/>
      <c r="R131" s="6"/>
      <c r="S131" s="6"/>
      <c r="T131" s="6"/>
      <c r="U131" s="6"/>
      <c r="V131" s="6"/>
      <c r="W131" s="6"/>
      <c r="X131" s="6"/>
      <c r="Y131" s="6"/>
      <c r="Z131" s="6"/>
      <c r="AA131" s="6"/>
      <c r="AB131" s="6"/>
      <c r="AC131" s="7"/>
    </row>
    <row r="132" spans="1:29" ht="31.2" customHeight="1" x14ac:dyDescent="0.3">
      <c r="A132" s="9" t="s">
        <v>98</v>
      </c>
      <c r="B132" s="11"/>
      <c r="C132" s="115"/>
      <c r="D132" s="116"/>
      <c r="E132" s="116"/>
      <c r="F132" s="6"/>
      <c r="G132" s="6"/>
      <c r="H132" s="6"/>
      <c r="I132" s="6"/>
      <c r="J132" s="6"/>
      <c r="K132" s="6"/>
      <c r="L132" s="6"/>
      <c r="M132" s="6"/>
      <c r="N132" s="6"/>
      <c r="O132" s="6"/>
      <c r="P132" s="6"/>
      <c r="Q132" s="6"/>
      <c r="R132" s="6"/>
      <c r="S132" s="6"/>
      <c r="T132" s="6"/>
      <c r="U132" s="6"/>
      <c r="V132" s="6"/>
      <c r="W132" s="6"/>
      <c r="X132" s="6"/>
      <c r="Y132" s="6"/>
      <c r="Z132" s="6"/>
      <c r="AA132" s="6"/>
      <c r="AB132" s="6"/>
      <c r="AC132" s="7"/>
    </row>
    <row r="133" spans="1:29" ht="15.6" customHeight="1" x14ac:dyDescent="0.3">
      <c r="A133" s="8" t="s">
        <v>40</v>
      </c>
      <c r="B133" s="11"/>
      <c r="C133" s="115"/>
      <c r="D133" s="116"/>
      <c r="E133" s="116"/>
      <c r="F133" s="6"/>
      <c r="G133" s="6"/>
      <c r="H133" s="6"/>
      <c r="I133" s="6"/>
      <c r="J133" s="6"/>
      <c r="K133" s="6"/>
      <c r="L133" s="6"/>
      <c r="M133" s="6"/>
      <c r="N133" s="6"/>
      <c r="O133" s="6"/>
      <c r="P133" s="6"/>
      <c r="Q133" s="6"/>
      <c r="R133" s="6"/>
      <c r="S133" s="6"/>
      <c r="T133" s="6"/>
      <c r="U133" s="6"/>
      <c r="V133" s="6"/>
      <c r="W133" s="6"/>
      <c r="X133" s="6"/>
      <c r="Y133" s="6"/>
      <c r="Z133" s="6"/>
      <c r="AA133" s="6"/>
      <c r="AB133" s="6"/>
      <c r="AC133" s="7"/>
    </row>
    <row r="134" spans="1:29" ht="15.6" customHeight="1" x14ac:dyDescent="0.3">
      <c r="B134" s="116"/>
      <c r="C134" s="116"/>
      <c r="D134" s="116"/>
      <c r="E134" s="116"/>
    </row>
    <row r="135" spans="1:29" ht="31.2" customHeight="1" x14ac:dyDescent="0.3">
      <c r="A135" s="5" t="s">
        <v>60</v>
      </c>
      <c r="B135" s="318"/>
      <c r="C135" s="319"/>
      <c r="D135" s="319"/>
      <c r="E135" s="320"/>
      <c r="W135" s="35">
        <f>IF(AND(OR(Eval2&lt;&gt;"",Eval2Desc&lt;&gt;"",Eval2Tipo&lt;&gt;"",Eval2Mod&lt;&gt;"",Eval2Verif&lt;&gt;"",Eval2Calif&lt;&gt;""),OR(Eval2="",,Eval2Tipo="",Eval2Mod="",Eval2Verif="",Eval2Calif="")),1,0)</f>
        <v>0</v>
      </c>
    </row>
    <row r="136" spans="1:29" ht="31.2" customHeight="1" x14ac:dyDescent="0.3">
      <c r="A136" s="9" t="s">
        <v>175</v>
      </c>
      <c r="B136" s="318"/>
      <c r="C136" s="319"/>
      <c r="D136" s="319"/>
      <c r="E136" s="320"/>
      <c r="F136" s="6"/>
      <c r="G136" s="6"/>
      <c r="H136" s="6"/>
      <c r="I136" s="6"/>
      <c r="J136" s="6"/>
      <c r="K136" s="6"/>
      <c r="L136" s="6"/>
      <c r="M136" s="6"/>
      <c r="N136" s="6"/>
      <c r="O136" s="6"/>
      <c r="P136" s="6"/>
      <c r="Q136" s="6"/>
      <c r="R136" s="6"/>
      <c r="S136" s="6"/>
      <c r="T136" s="6"/>
      <c r="U136" s="6"/>
      <c r="V136" s="6"/>
      <c r="W136" s="6"/>
      <c r="X136" s="6"/>
      <c r="Y136" s="6"/>
      <c r="Z136" s="6"/>
      <c r="AA136" s="6"/>
      <c r="AB136" s="6"/>
      <c r="AC136" s="7"/>
    </row>
    <row r="137" spans="1:29" ht="31.2" customHeight="1" x14ac:dyDescent="0.3">
      <c r="A137" s="9" t="s">
        <v>56</v>
      </c>
      <c r="B137" s="119"/>
      <c r="C137" s="115"/>
      <c r="D137" s="115"/>
      <c r="E137" s="115"/>
    </row>
    <row r="138" spans="1:29" ht="15.6" customHeight="1" x14ac:dyDescent="0.3">
      <c r="A138" s="9" t="s">
        <v>39</v>
      </c>
      <c r="B138" s="11"/>
      <c r="C138" s="115"/>
      <c r="D138" s="115"/>
      <c r="E138" s="115"/>
    </row>
    <row r="139" spans="1:29" ht="31.2" customHeight="1" x14ac:dyDescent="0.3">
      <c r="A139" s="9" t="s">
        <v>98</v>
      </c>
      <c r="B139" s="11"/>
      <c r="C139" s="115"/>
      <c r="D139" s="116"/>
      <c r="E139" s="116"/>
    </row>
    <row r="140" spans="1:29" ht="15.6" customHeight="1" x14ac:dyDescent="0.3">
      <c r="A140" s="8" t="s">
        <v>40</v>
      </c>
      <c r="B140" s="11"/>
      <c r="C140" s="115"/>
      <c r="D140" s="116"/>
      <c r="E140" s="116"/>
    </row>
    <row r="141" spans="1:29" ht="15.6" customHeight="1" x14ac:dyDescent="0.3">
      <c r="B141" s="116"/>
      <c r="C141" s="116"/>
      <c r="D141" s="116"/>
      <c r="E141" s="116"/>
    </row>
    <row r="142" spans="1:29" ht="31.2" customHeight="1" x14ac:dyDescent="0.3">
      <c r="A142" s="5" t="s">
        <v>59</v>
      </c>
      <c r="B142" s="318"/>
      <c r="C142" s="319"/>
      <c r="D142" s="319"/>
      <c r="E142" s="320"/>
      <c r="W142" s="35">
        <f>IF(AND(OR(Eval3&lt;&gt;"",Eval3Desc&lt;&gt;"",Eval3Tipo&lt;&gt;"",Eval3Mod&lt;&gt;"",Eval3Verif&lt;&gt;"",Eval3Calif&lt;&gt;""),OR(Eval3="",,Eval3Tipo="",Eval3Mod="",Eval3Verif="",Eval3Calif="")),1,0)</f>
        <v>0</v>
      </c>
    </row>
    <row r="143" spans="1:29" ht="31.2" customHeight="1" x14ac:dyDescent="0.3">
      <c r="A143" s="9" t="s">
        <v>175</v>
      </c>
      <c r="B143" s="318"/>
      <c r="C143" s="319"/>
      <c r="D143" s="319"/>
      <c r="E143" s="320"/>
      <c r="F143" s="6"/>
      <c r="G143" s="6"/>
      <c r="H143" s="6"/>
      <c r="I143" s="6"/>
      <c r="J143" s="6"/>
      <c r="K143" s="6"/>
      <c r="L143" s="6"/>
      <c r="M143" s="6"/>
      <c r="N143" s="6"/>
      <c r="O143" s="6"/>
      <c r="P143" s="6"/>
      <c r="Q143" s="6"/>
      <c r="R143" s="6"/>
      <c r="S143" s="6"/>
      <c r="T143" s="6"/>
      <c r="U143" s="6"/>
      <c r="V143" s="6"/>
      <c r="W143" s="6"/>
      <c r="X143" s="6"/>
      <c r="Y143" s="6"/>
      <c r="Z143" s="6"/>
      <c r="AA143" s="6"/>
      <c r="AB143" s="6"/>
      <c r="AC143" s="7"/>
    </row>
    <row r="144" spans="1:29" ht="31.2" customHeight="1" x14ac:dyDescent="0.3">
      <c r="A144" s="9" t="s">
        <v>56</v>
      </c>
      <c r="B144" s="119"/>
      <c r="C144" s="115"/>
      <c r="D144" s="115"/>
      <c r="E144" s="115"/>
    </row>
    <row r="145" spans="1:29" ht="15.6" customHeight="1" x14ac:dyDescent="0.3">
      <c r="A145" s="9" t="s">
        <v>39</v>
      </c>
      <c r="B145" s="11"/>
      <c r="C145" s="115"/>
      <c r="D145" s="115"/>
      <c r="E145" s="115"/>
    </row>
    <row r="146" spans="1:29" ht="31.2" customHeight="1" x14ac:dyDescent="0.3">
      <c r="A146" s="9" t="s">
        <v>98</v>
      </c>
      <c r="B146" s="11"/>
      <c r="C146" s="115"/>
      <c r="D146" s="116"/>
      <c r="E146" s="116"/>
    </row>
    <row r="147" spans="1:29" ht="15.6" customHeight="1" x14ac:dyDescent="0.3">
      <c r="A147" s="8" t="s">
        <v>40</v>
      </c>
      <c r="B147" s="120"/>
      <c r="C147" s="115"/>
      <c r="D147" s="116"/>
      <c r="E147" s="116"/>
    </row>
    <row r="148" spans="1:29" ht="15.6" customHeight="1" x14ac:dyDescent="0.3">
      <c r="B148" s="116"/>
      <c r="C148" s="116"/>
      <c r="D148" s="116"/>
      <c r="E148" s="116"/>
    </row>
    <row r="149" spans="1:29" ht="31.2" customHeight="1" x14ac:dyDescent="0.3">
      <c r="A149" s="5" t="s">
        <v>58</v>
      </c>
      <c r="B149" s="318"/>
      <c r="C149" s="319"/>
      <c r="D149" s="319"/>
      <c r="E149" s="320"/>
      <c r="W149" s="35">
        <f>IF(AND(OR(Eval4&lt;&gt;"",Eval4Desc&lt;&gt;"",Eval4Tipo&lt;&gt;"",Eval4Mod&lt;&gt;"",Eval4Verif&lt;&gt;"",Eval4Calif&lt;&gt;""),OR(Eval4="",,Eval4Tipo="",Eval4Mod="",Eval4Verif="",Eval4Calif="")),1,0)</f>
        <v>0</v>
      </c>
    </row>
    <row r="150" spans="1:29" ht="31.2" customHeight="1" x14ac:dyDescent="0.3">
      <c r="A150" s="9" t="s">
        <v>175</v>
      </c>
      <c r="B150" s="318"/>
      <c r="C150" s="319"/>
      <c r="D150" s="319"/>
      <c r="E150" s="320"/>
      <c r="F150" s="6"/>
      <c r="G150" s="6"/>
      <c r="H150" s="6"/>
      <c r="I150" s="6"/>
      <c r="J150" s="6"/>
      <c r="K150" s="6"/>
      <c r="L150" s="6"/>
      <c r="M150" s="6"/>
      <c r="N150" s="6"/>
      <c r="O150" s="6"/>
      <c r="P150" s="6"/>
      <c r="Q150" s="6"/>
      <c r="R150" s="6"/>
      <c r="S150" s="6"/>
      <c r="T150" s="6"/>
      <c r="U150" s="6"/>
      <c r="V150" s="6"/>
      <c r="W150" s="6"/>
      <c r="X150" s="6"/>
      <c r="Y150" s="6"/>
      <c r="Z150" s="6"/>
      <c r="AA150" s="6"/>
      <c r="AB150" s="6"/>
      <c r="AC150" s="7"/>
    </row>
    <row r="151" spans="1:29" ht="31.2" customHeight="1" x14ac:dyDescent="0.3">
      <c r="A151" s="9" t="s">
        <v>56</v>
      </c>
      <c r="B151" s="119"/>
      <c r="C151" s="115"/>
      <c r="D151" s="115"/>
      <c r="E151" s="115"/>
    </row>
    <row r="152" spans="1:29" ht="15.6" customHeight="1" x14ac:dyDescent="0.3">
      <c r="A152" s="9" t="s">
        <v>39</v>
      </c>
      <c r="B152" s="11"/>
      <c r="C152" s="115"/>
      <c r="D152" s="115"/>
      <c r="E152" s="115"/>
    </row>
    <row r="153" spans="1:29" ht="31.2" customHeight="1" x14ac:dyDescent="0.3">
      <c r="A153" s="9" t="s">
        <v>98</v>
      </c>
      <c r="B153" s="11"/>
      <c r="C153" s="115"/>
      <c r="D153" s="116"/>
      <c r="E153" s="116"/>
    </row>
    <row r="154" spans="1:29" ht="15.6" customHeight="1" x14ac:dyDescent="0.3">
      <c r="A154" s="8" t="s">
        <v>40</v>
      </c>
      <c r="B154" s="120"/>
      <c r="C154" s="115"/>
      <c r="D154" s="116"/>
      <c r="E154" s="116"/>
    </row>
    <row r="155" spans="1:29" ht="15.6" customHeight="1" x14ac:dyDescent="0.3">
      <c r="B155" s="116"/>
      <c r="C155" s="116"/>
      <c r="D155" s="116"/>
      <c r="E155" s="116"/>
    </row>
    <row r="156" spans="1:29" ht="31.2" customHeight="1" x14ac:dyDescent="0.3">
      <c r="A156" s="5" t="s">
        <v>57</v>
      </c>
      <c r="B156" s="318"/>
      <c r="C156" s="319"/>
      <c r="D156" s="319"/>
      <c r="E156" s="320"/>
      <c r="W156" s="35">
        <f>IF(AND(OR(Eval5&lt;&gt;"",Eval5Desc&lt;&gt;"",Eval5Tipo&lt;&gt;"",Eval5Mod&lt;&gt;"",Eval5Verif&lt;&gt;"",Eval5Calif&lt;&gt;""),OR(Eval5="",,Eval5Tipo="",Eval5Mod="",Eval5Verif="",Eval5Calif="")),1,0)</f>
        <v>0</v>
      </c>
    </row>
    <row r="157" spans="1:29" ht="31.2" customHeight="1" x14ac:dyDescent="0.3">
      <c r="A157" s="9" t="s">
        <v>175</v>
      </c>
      <c r="B157" s="318"/>
      <c r="C157" s="319"/>
      <c r="D157" s="319"/>
      <c r="E157" s="320"/>
      <c r="F157" s="6"/>
      <c r="G157" s="6"/>
      <c r="H157" s="6"/>
      <c r="I157" s="6"/>
      <c r="J157" s="6"/>
      <c r="K157" s="6"/>
      <c r="L157" s="6"/>
      <c r="M157" s="6"/>
      <c r="N157" s="6"/>
      <c r="O157" s="6"/>
      <c r="P157" s="6"/>
      <c r="Q157" s="6"/>
      <c r="R157" s="6"/>
      <c r="S157" s="6"/>
      <c r="T157" s="6"/>
      <c r="U157" s="6"/>
      <c r="V157" s="6"/>
      <c r="W157" s="6"/>
      <c r="X157" s="6"/>
      <c r="Y157" s="6"/>
      <c r="Z157" s="6"/>
      <c r="AA157" s="6"/>
      <c r="AB157" s="6"/>
      <c r="AC157" s="7"/>
    </row>
    <row r="158" spans="1:29" ht="31.2" customHeight="1" x14ac:dyDescent="0.3">
      <c r="A158" s="9" t="s">
        <v>56</v>
      </c>
      <c r="B158" s="119"/>
      <c r="C158" s="115"/>
      <c r="D158" s="115"/>
      <c r="E158" s="115"/>
    </row>
    <row r="159" spans="1:29" ht="15.6" customHeight="1" x14ac:dyDescent="0.3">
      <c r="A159" s="9" t="s">
        <v>39</v>
      </c>
      <c r="B159" s="11"/>
      <c r="C159" s="115"/>
      <c r="D159" s="115"/>
      <c r="E159" s="115"/>
    </row>
    <row r="160" spans="1:29" ht="31.2" customHeight="1" x14ac:dyDescent="0.3">
      <c r="A160" s="9" t="s">
        <v>98</v>
      </c>
      <c r="B160" s="11"/>
      <c r="C160" s="115"/>
      <c r="D160" s="116"/>
      <c r="E160" s="116"/>
    </row>
    <row r="161" spans="1:5" x14ac:dyDescent="0.3">
      <c r="A161" s="8" t="s">
        <v>40</v>
      </c>
      <c r="B161" s="120"/>
      <c r="C161" s="115"/>
      <c r="D161" s="116"/>
      <c r="E161" s="116"/>
    </row>
    <row r="162" spans="1:5" x14ac:dyDescent="0.3">
      <c r="B162" s="74"/>
      <c r="C162" s="74"/>
      <c r="D162" s="74"/>
      <c r="E162" s="74"/>
    </row>
    <row r="163" spans="1:5" x14ac:dyDescent="0.3">
      <c r="B163" s="74"/>
      <c r="C163" s="74"/>
      <c r="D163" s="74"/>
      <c r="E163" s="74"/>
    </row>
    <row r="164" spans="1:5" x14ac:dyDescent="0.3">
      <c r="B164" s="74"/>
      <c r="C164" s="74"/>
      <c r="D164" s="74"/>
      <c r="E164" s="74"/>
    </row>
    <row r="165" spans="1:5" x14ac:dyDescent="0.3">
      <c r="B165" s="74"/>
      <c r="C165" s="74"/>
      <c r="D165" s="74"/>
      <c r="E165" s="74"/>
    </row>
    <row r="166" spans="1:5" x14ac:dyDescent="0.3">
      <c r="B166" s="74"/>
      <c r="C166" s="74"/>
      <c r="D166" s="74"/>
      <c r="E166" s="74"/>
    </row>
    <row r="167" spans="1:5" x14ac:dyDescent="0.3">
      <c r="B167" s="74"/>
      <c r="C167" s="74"/>
      <c r="D167" s="74"/>
      <c r="E167" s="74"/>
    </row>
    <row r="168" spans="1:5" x14ac:dyDescent="0.3">
      <c r="B168" s="74"/>
      <c r="C168" s="74"/>
      <c r="D168" s="74"/>
      <c r="E168" s="74"/>
    </row>
    <row r="169" spans="1:5" x14ac:dyDescent="0.3">
      <c r="B169" s="74"/>
      <c r="C169" s="74"/>
      <c r="D169" s="74"/>
      <c r="E169" s="74"/>
    </row>
    <row r="170" spans="1:5" x14ac:dyDescent="0.3">
      <c r="B170" s="74"/>
      <c r="C170" s="74"/>
      <c r="D170" s="74"/>
      <c r="E170" s="74"/>
    </row>
    <row r="171" spans="1:5" x14ac:dyDescent="0.3">
      <c r="B171" s="74"/>
      <c r="C171" s="74"/>
      <c r="D171" s="74"/>
      <c r="E171" s="74"/>
    </row>
    <row r="172" spans="1:5" x14ac:dyDescent="0.3">
      <c r="B172" s="74"/>
      <c r="C172" s="74"/>
      <c r="D172" s="74"/>
      <c r="E172" s="74"/>
    </row>
    <row r="173" spans="1:5" x14ac:dyDescent="0.3">
      <c r="B173" s="74"/>
      <c r="C173" s="74"/>
      <c r="D173" s="74"/>
      <c r="E173" s="74"/>
    </row>
    <row r="174" spans="1:5" x14ac:dyDescent="0.3">
      <c r="B174" s="74"/>
      <c r="C174" s="74"/>
      <c r="D174" s="74"/>
      <c r="E174" s="74"/>
    </row>
    <row r="175" spans="1:5" x14ac:dyDescent="0.3">
      <c r="B175" s="74"/>
      <c r="C175" s="74"/>
      <c r="D175" s="74"/>
      <c r="E175" s="74"/>
    </row>
    <row r="176" spans="1:5" x14ac:dyDescent="0.3">
      <c r="B176" s="74"/>
      <c r="C176" s="74"/>
      <c r="D176" s="74"/>
      <c r="E176" s="74"/>
    </row>
    <row r="177" spans="2:5" x14ac:dyDescent="0.3">
      <c r="B177" s="74"/>
      <c r="C177" s="74"/>
      <c r="D177" s="74"/>
      <c r="E177" s="74"/>
    </row>
    <row r="178" spans="2:5" x14ac:dyDescent="0.3">
      <c r="B178" s="74"/>
      <c r="C178" s="74"/>
      <c r="D178" s="74"/>
      <c r="E178" s="74"/>
    </row>
    <row r="179" spans="2:5" x14ac:dyDescent="0.3">
      <c r="B179" s="74"/>
      <c r="C179" s="74"/>
      <c r="D179" s="74"/>
      <c r="E179" s="74"/>
    </row>
    <row r="180" spans="2:5" x14ac:dyDescent="0.3">
      <c r="B180" s="74"/>
      <c r="C180" s="74"/>
      <c r="D180" s="74"/>
      <c r="E180" s="74"/>
    </row>
    <row r="181" spans="2:5" x14ac:dyDescent="0.3">
      <c r="B181" s="74"/>
      <c r="C181" s="74"/>
      <c r="D181" s="74"/>
      <c r="E181" s="74"/>
    </row>
    <row r="182" spans="2:5" x14ac:dyDescent="0.3">
      <c r="B182" s="74"/>
      <c r="C182" s="74"/>
      <c r="D182" s="74"/>
      <c r="E182" s="74"/>
    </row>
    <row r="183" spans="2:5" x14ac:dyDescent="0.3">
      <c r="B183" s="74"/>
      <c r="C183" s="74"/>
      <c r="D183" s="74"/>
      <c r="E183" s="74"/>
    </row>
    <row r="184" spans="2:5" x14ac:dyDescent="0.3">
      <c r="B184" s="74"/>
      <c r="C184" s="74"/>
      <c r="D184" s="74"/>
      <c r="E184" s="74"/>
    </row>
    <row r="185" spans="2:5" x14ac:dyDescent="0.3">
      <c r="B185" s="74"/>
      <c r="C185" s="74"/>
      <c r="D185" s="74"/>
      <c r="E185" s="74"/>
    </row>
    <row r="186" spans="2:5" x14ac:dyDescent="0.3">
      <c r="B186" s="74"/>
      <c r="C186" s="74"/>
      <c r="D186" s="74"/>
      <c r="E186" s="74"/>
    </row>
    <row r="187" spans="2:5" x14ac:dyDescent="0.3">
      <c r="B187" s="74"/>
      <c r="C187" s="74"/>
      <c r="D187" s="74"/>
      <c r="E187" s="74"/>
    </row>
    <row r="188" spans="2:5" x14ac:dyDescent="0.3">
      <c r="B188" s="74"/>
      <c r="C188" s="74"/>
      <c r="D188" s="74"/>
      <c r="E188" s="74"/>
    </row>
    <row r="189" spans="2:5" x14ac:dyDescent="0.3">
      <c r="B189" s="74"/>
      <c r="C189" s="74"/>
      <c r="D189" s="74"/>
      <c r="E189" s="74"/>
    </row>
    <row r="190" spans="2:5" x14ac:dyDescent="0.3">
      <c r="B190" s="74"/>
      <c r="C190" s="74"/>
      <c r="D190" s="74"/>
      <c r="E190" s="74"/>
    </row>
    <row r="191" spans="2:5" x14ac:dyDescent="0.3">
      <c r="B191" s="74"/>
      <c r="C191" s="74"/>
      <c r="D191" s="74"/>
      <c r="E191" s="74"/>
    </row>
    <row r="192" spans="2:5" x14ac:dyDescent="0.3">
      <c r="B192" s="74"/>
      <c r="C192" s="74"/>
      <c r="D192" s="74"/>
      <c r="E192" s="74"/>
    </row>
    <row r="193" spans="2:5" x14ac:dyDescent="0.3">
      <c r="B193" s="74"/>
      <c r="C193" s="74"/>
      <c r="D193" s="74"/>
      <c r="E193" s="74"/>
    </row>
    <row r="194" spans="2:5" x14ac:dyDescent="0.3">
      <c r="B194" s="74"/>
      <c r="C194" s="74"/>
      <c r="D194" s="74"/>
      <c r="E194" s="74"/>
    </row>
    <row r="195" spans="2:5" x14ac:dyDescent="0.3">
      <c r="B195" s="74"/>
      <c r="C195" s="74"/>
      <c r="D195" s="74"/>
      <c r="E195" s="74"/>
    </row>
    <row r="196" spans="2:5" x14ac:dyDescent="0.3">
      <c r="B196" s="74"/>
      <c r="C196" s="74"/>
      <c r="D196" s="74"/>
      <c r="E196" s="74"/>
    </row>
    <row r="197" spans="2:5" x14ac:dyDescent="0.3">
      <c r="B197" s="74"/>
      <c r="C197" s="74"/>
      <c r="D197" s="74"/>
      <c r="E197" s="74"/>
    </row>
    <row r="198" spans="2:5" x14ac:dyDescent="0.3">
      <c r="B198" s="74"/>
      <c r="C198" s="74"/>
      <c r="D198" s="74"/>
      <c r="E198" s="74"/>
    </row>
    <row r="199" spans="2:5" x14ac:dyDescent="0.3">
      <c r="B199" s="74"/>
      <c r="C199" s="74"/>
      <c r="D199" s="74"/>
      <c r="E199" s="74"/>
    </row>
    <row r="200" spans="2:5" x14ac:dyDescent="0.3">
      <c r="B200" s="74"/>
      <c r="C200" s="74"/>
      <c r="D200" s="74"/>
      <c r="E200" s="74"/>
    </row>
    <row r="201" spans="2:5" x14ac:dyDescent="0.3">
      <c r="B201" s="74"/>
      <c r="C201" s="74"/>
      <c r="D201" s="74"/>
      <c r="E201" s="74"/>
    </row>
    <row r="202" spans="2:5" x14ac:dyDescent="0.3">
      <c r="B202" s="74"/>
      <c r="C202" s="74"/>
      <c r="D202" s="74"/>
      <c r="E202" s="74"/>
    </row>
    <row r="203" spans="2:5" x14ac:dyDescent="0.3">
      <c r="B203" s="74"/>
      <c r="C203" s="74"/>
      <c r="D203" s="74"/>
      <c r="E203" s="74"/>
    </row>
    <row r="204" spans="2:5" x14ac:dyDescent="0.3">
      <c r="B204" s="74"/>
      <c r="C204" s="74"/>
      <c r="D204" s="74"/>
      <c r="E204" s="74"/>
    </row>
    <row r="205" spans="2:5" x14ac:dyDescent="0.3">
      <c r="B205" s="74"/>
      <c r="C205" s="74"/>
      <c r="D205" s="74"/>
      <c r="E205" s="74"/>
    </row>
    <row r="206" spans="2:5" x14ac:dyDescent="0.3">
      <c r="B206" s="74"/>
      <c r="C206" s="74"/>
      <c r="D206" s="74"/>
      <c r="E206" s="74"/>
    </row>
    <row r="207" spans="2:5" x14ac:dyDescent="0.3">
      <c r="B207" s="74"/>
      <c r="C207" s="74"/>
      <c r="D207" s="74"/>
      <c r="E207" s="74"/>
    </row>
    <row r="208" spans="2:5" x14ac:dyDescent="0.3">
      <c r="B208" s="74"/>
      <c r="C208" s="74"/>
      <c r="D208" s="74"/>
      <c r="E208" s="74"/>
    </row>
    <row r="209" spans="2:29" x14ac:dyDescent="0.3">
      <c r="B209" s="74"/>
      <c r="C209" s="74"/>
      <c r="D209" s="74"/>
      <c r="E209" s="74"/>
    </row>
    <row r="210" spans="2:29" x14ac:dyDescent="0.3">
      <c r="B210" s="74"/>
      <c r="C210" s="74"/>
      <c r="D210" s="74"/>
      <c r="E210" s="74"/>
    </row>
    <row r="211" spans="2:29" x14ac:dyDescent="0.3">
      <c r="B211" s="74"/>
      <c r="C211" s="74"/>
      <c r="D211" s="74"/>
      <c r="E211" s="74"/>
    </row>
    <row r="212" spans="2:29" x14ac:dyDescent="0.3">
      <c r="B212" s="74"/>
      <c r="C212" s="74"/>
      <c r="D212" s="74"/>
      <c r="E212" s="74"/>
    </row>
    <row r="213" spans="2:29" x14ac:dyDescent="0.3">
      <c r="B213" s="74"/>
      <c r="C213" s="74"/>
      <c r="D213" s="74"/>
      <c r="E213" s="74"/>
    </row>
    <row r="214" spans="2:29" x14ac:dyDescent="0.3">
      <c r="B214" s="74"/>
      <c r="C214" s="74"/>
      <c r="D214" s="74"/>
      <c r="E214" s="74"/>
    </row>
    <row r="215" spans="2:29" x14ac:dyDescent="0.3">
      <c r="B215" s="74"/>
      <c r="C215" s="74"/>
      <c r="D215" s="74"/>
      <c r="E215" s="74"/>
    </row>
    <row r="216" spans="2:29" x14ac:dyDescent="0.3">
      <c r="B216" s="74"/>
      <c r="C216" s="74"/>
      <c r="D216" s="74"/>
      <c r="E216" s="74"/>
    </row>
    <row r="217" spans="2:29" x14ac:dyDescent="0.3">
      <c r="B217" s="74"/>
      <c r="C217" s="74"/>
      <c r="D217" s="74"/>
      <c r="E217" s="74"/>
    </row>
    <row r="218" spans="2:29" x14ac:dyDescent="0.3">
      <c r="B218" s="74"/>
      <c r="C218" s="74"/>
      <c r="D218" s="74"/>
      <c r="E218" s="74"/>
    </row>
    <row r="219" spans="2:29" x14ac:dyDescent="0.3">
      <c r="B219" s="74"/>
      <c r="C219" s="74"/>
      <c r="D219" s="74"/>
      <c r="E219" s="74"/>
    </row>
    <row r="220" spans="2:29" x14ac:dyDescent="0.3">
      <c r="B220" s="74"/>
      <c r="C220" s="74"/>
      <c r="D220" s="74"/>
      <c r="E220" s="74"/>
      <c r="F220" s="6"/>
      <c r="G220" s="6"/>
      <c r="H220" s="6"/>
      <c r="I220" s="6"/>
      <c r="J220" s="6"/>
      <c r="K220" s="6"/>
      <c r="L220" s="6"/>
      <c r="M220" s="6"/>
      <c r="N220" s="6"/>
      <c r="O220" s="6"/>
      <c r="P220" s="6"/>
      <c r="Q220" s="6"/>
      <c r="R220" s="6"/>
      <c r="S220" s="6"/>
      <c r="T220" s="6"/>
      <c r="U220" s="6"/>
      <c r="V220" s="6"/>
      <c r="W220" s="6"/>
      <c r="X220" s="6"/>
      <c r="Y220" s="6"/>
      <c r="Z220" s="6"/>
      <c r="AA220" s="6"/>
      <c r="AB220" s="6"/>
      <c r="AC220" s="7"/>
    </row>
    <row r="221" spans="2:29" x14ac:dyDescent="0.3">
      <c r="B221" s="74"/>
      <c r="C221" s="74"/>
      <c r="D221" s="74"/>
      <c r="E221" s="74"/>
      <c r="F221" s="6"/>
      <c r="G221" s="6"/>
      <c r="H221" s="6"/>
      <c r="I221" s="6"/>
      <c r="J221" s="6"/>
      <c r="K221" s="6"/>
      <c r="L221" s="6"/>
      <c r="M221" s="6"/>
      <c r="N221" s="6"/>
      <c r="O221" s="6"/>
      <c r="P221" s="6"/>
      <c r="Q221" s="6"/>
      <c r="R221" s="6"/>
      <c r="S221" s="6"/>
      <c r="T221" s="6"/>
      <c r="U221" s="6"/>
      <c r="V221" s="6"/>
      <c r="W221" s="6"/>
      <c r="X221" s="6"/>
      <c r="Y221" s="6"/>
      <c r="Z221" s="6"/>
      <c r="AA221" s="6"/>
      <c r="AB221" s="6"/>
      <c r="AC221" s="7"/>
    </row>
    <row r="222" spans="2:29" x14ac:dyDescent="0.3">
      <c r="B222" s="74"/>
      <c r="C222" s="74"/>
      <c r="D222" s="74"/>
      <c r="E222" s="74"/>
    </row>
    <row r="223" spans="2:29" x14ac:dyDescent="0.3">
      <c r="B223" s="74"/>
      <c r="C223" s="74"/>
      <c r="D223" s="74"/>
      <c r="E223" s="74"/>
    </row>
    <row r="224" spans="2:29" x14ac:dyDescent="0.3">
      <c r="B224" s="74"/>
      <c r="C224" s="74"/>
      <c r="D224" s="74"/>
      <c r="E224" s="74"/>
    </row>
    <row r="225" spans="2:5" x14ac:dyDescent="0.3">
      <c r="B225" s="74"/>
      <c r="C225" s="74"/>
      <c r="D225" s="74"/>
      <c r="E225" s="74"/>
    </row>
    <row r="226" spans="2:5" x14ac:dyDescent="0.3">
      <c r="B226" s="74"/>
      <c r="C226" s="74"/>
      <c r="D226" s="74"/>
      <c r="E226" s="74"/>
    </row>
    <row r="227" spans="2:5" x14ac:dyDescent="0.3">
      <c r="B227" s="74"/>
      <c r="C227" s="74"/>
      <c r="D227" s="74"/>
      <c r="E227" s="74"/>
    </row>
    <row r="228" spans="2:5" x14ac:dyDescent="0.3">
      <c r="B228" s="74"/>
      <c r="C228" s="74"/>
      <c r="D228" s="74"/>
      <c r="E228" s="74"/>
    </row>
    <row r="229" spans="2:5" x14ac:dyDescent="0.3">
      <c r="B229" s="74"/>
      <c r="C229" s="74"/>
      <c r="D229" s="74"/>
      <c r="E229" s="74"/>
    </row>
    <row r="230" spans="2:5" x14ac:dyDescent="0.3">
      <c r="B230" s="74"/>
      <c r="C230" s="74"/>
      <c r="D230" s="74"/>
      <c r="E230" s="74"/>
    </row>
    <row r="231" spans="2:5" x14ac:dyDescent="0.3">
      <c r="B231" s="74"/>
      <c r="C231" s="74"/>
      <c r="D231" s="74"/>
      <c r="E231" s="74"/>
    </row>
    <row r="232" spans="2:5" x14ac:dyDescent="0.3">
      <c r="B232" s="74"/>
      <c r="C232" s="74"/>
      <c r="D232" s="74"/>
      <c r="E232" s="74"/>
    </row>
    <row r="233" spans="2:5" x14ac:dyDescent="0.3">
      <c r="B233" s="74"/>
      <c r="C233" s="74"/>
      <c r="D233" s="74"/>
      <c r="E233" s="74"/>
    </row>
    <row r="234" spans="2:5" x14ac:dyDescent="0.3">
      <c r="B234" s="74"/>
      <c r="C234" s="74"/>
      <c r="D234" s="74"/>
      <c r="E234" s="74"/>
    </row>
    <row r="235" spans="2:5" x14ac:dyDescent="0.3">
      <c r="B235" s="74"/>
      <c r="C235" s="74"/>
      <c r="D235" s="74"/>
      <c r="E235" s="74"/>
    </row>
    <row r="236" spans="2:5" x14ac:dyDescent="0.3">
      <c r="B236" s="74"/>
      <c r="C236" s="74"/>
      <c r="D236" s="74"/>
      <c r="E236" s="74"/>
    </row>
    <row r="237" spans="2:5" x14ac:dyDescent="0.3">
      <c r="B237" s="74"/>
      <c r="C237" s="74"/>
      <c r="D237" s="74"/>
      <c r="E237" s="74"/>
    </row>
    <row r="238" spans="2:5" x14ac:dyDescent="0.3">
      <c r="B238" s="74"/>
      <c r="C238" s="74"/>
      <c r="D238" s="74"/>
      <c r="E238" s="74"/>
    </row>
    <row r="239" spans="2:5" x14ac:dyDescent="0.3">
      <c r="B239" s="74"/>
      <c r="C239" s="74"/>
      <c r="D239" s="74"/>
      <c r="E239" s="74"/>
    </row>
    <row r="240" spans="2:5" x14ac:dyDescent="0.3">
      <c r="B240" s="74"/>
      <c r="C240" s="74"/>
      <c r="D240" s="74"/>
      <c r="E240" s="74"/>
    </row>
    <row r="241" spans="2:5" x14ac:dyDescent="0.3">
      <c r="B241" s="74"/>
      <c r="C241" s="74"/>
      <c r="D241" s="74"/>
      <c r="E241" s="74"/>
    </row>
    <row r="242" spans="2:5" x14ac:dyDescent="0.3">
      <c r="B242" s="74"/>
      <c r="C242" s="74"/>
      <c r="D242" s="74"/>
      <c r="E242" s="74"/>
    </row>
    <row r="243" spans="2:5" x14ac:dyDescent="0.3">
      <c r="B243" s="74"/>
      <c r="C243" s="74"/>
      <c r="D243" s="74"/>
      <c r="E243" s="74"/>
    </row>
    <row r="244" spans="2:5" x14ac:dyDescent="0.3">
      <c r="B244" s="74"/>
      <c r="C244" s="74"/>
      <c r="D244" s="74"/>
      <c r="E244" s="74"/>
    </row>
    <row r="245" spans="2:5" x14ac:dyDescent="0.3">
      <c r="B245" s="74"/>
      <c r="C245" s="74"/>
      <c r="D245" s="74"/>
      <c r="E245" s="74"/>
    </row>
    <row r="246" spans="2:5" x14ac:dyDescent="0.3">
      <c r="B246" s="74"/>
      <c r="C246" s="74"/>
      <c r="D246" s="74"/>
      <c r="E246" s="74"/>
    </row>
    <row r="247" spans="2:5" x14ac:dyDescent="0.3">
      <c r="B247" s="74"/>
      <c r="C247" s="74"/>
      <c r="D247" s="74"/>
      <c r="E247" s="74"/>
    </row>
    <row r="248" spans="2:5" x14ac:dyDescent="0.3">
      <c r="B248" s="74"/>
      <c r="C248" s="74"/>
      <c r="D248" s="74"/>
      <c r="E248" s="74"/>
    </row>
  </sheetData>
  <sheetProtection algorithmName="SHA-512" hashValue="fg2qjQZJTorInEOXeEtv9YL8eMIgoW77pIClzeUraAhH0Indvt8gK08NbxVSU5hBByzgykt0sT3qudPuS1qCaw==" saltValue="x3IJ8qJKvQA7bEhS0z/+Pg==" spinCount="100000" sheet="1" objects="1" scenarios="1" selectLockedCells="1"/>
  <mergeCells count="80">
    <mergeCell ref="B68:E68"/>
    <mergeCell ref="B81:E81"/>
    <mergeCell ref="A86:C86"/>
    <mergeCell ref="A71:C71"/>
    <mergeCell ref="B75:E75"/>
    <mergeCell ref="A78:C78"/>
    <mergeCell ref="D69:E69"/>
    <mergeCell ref="B103:E103"/>
    <mergeCell ref="B74:E74"/>
    <mergeCell ref="A79:C79"/>
    <mergeCell ref="A72:C72"/>
    <mergeCell ref="B109:E109"/>
    <mergeCell ref="D76:E76"/>
    <mergeCell ref="D83:E83"/>
    <mergeCell ref="D90:E90"/>
    <mergeCell ref="D97:E97"/>
    <mergeCell ref="D104:E104"/>
    <mergeCell ref="B110:E110"/>
    <mergeCell ref="A121:C121"/>
    <mergeCell ref="A113:C113"/>
    <mergeCell ref="A114:C114"/>
    <mergeCell ref="B116:E116"/>
    <mergeCell ref="B117:E117"/>
    <mergeCell ref="A120:C120"/>
    <mergeCell ref="D111:E111"/>
    <mergeCell ref="D118:E118"/>
    <mergeCell ref="A7:E7"/>
    <mergeCell ref="A10:E10"/>
    <mergeCell ref="B32:E32"/>
    <mergeCell ref="B34:E34"/>
    <mergeCell ref="B37:E37"/>
    <mergeCell ref="A13:E13"/>
    <mergeCell ref="B38:E38"/>
    <mergeCell ref="B16:E16"/>
    <mergeCell ref="B19:E19"/>
    <mergeCell ref="B20:E20"/>
    <mergeCell ref="B28:E28"/>
    <mergeCell ref="B31:E31"/>
    <mergeCell ref="B22:E22"/>
    <mergeCell ref="B25:E25"/>
    <mergeCell ref="B26:E26"/>
    <mergeCell ref="B40:E40"/>
    <mergeCell ref="B43:E43"/>
    <mergeCell ref="B44:E44"/>
    <mergeCell ref="B53:E53"/>
    <mergeCell ref="B67:E67"/>
    <mergeCell ref="A65:C65"/>
    <mergeCell ref="B54:E54"/>
    <mergeCell ref="A58:C58"/>
    <mergeCell ref="A57:C57"/>
    <mergeCell ref="B61:E61"/>
    <mergeCell ref="A64:C64"/>
    <mergeCell ref="A51:E51"/>
    <mergeCell ref="B60:E60"/>
    <mergeCell ref="D55:E55"/>
    <mergeCell ref="D62:E62"/>
    <mergeCell ref="B128:E128"/>
    <mergeCell ref="B129:E129"/>
    <mergeCell ref="B82:E82"/>
    <mergeCell ref="A85:C85"/>
    <mergeCell ref="B88:E88"/>
    <mergeCell ref="B89:E89"/>
    <mergeCell ref="A92:C92"/>
    <mergeCell ref="A93:C93"/>
    <mergeCell ref="B95:E95"/>
    <mergeCell ref="B96:E96"/>
    <mergeCell ref="A99:C99"/>
    <mergeCell ref="A100:C100"/>
    <mergeCell ref="B102:E102"/>
    <mergeCell ref="A107:C107"/>
    <mergeCell ref="A106:C106"/>
    <mergeCell ref="A125:E125"/>
    <mergeCell ref="B156:E156"/>
    <mergeCell ref="B157:E157"/>
    <mergeCell ref="B135:E135"/>
    <mergeCell ref="B136:E136"/>
    <mergeCell ref="B142:E142"/>
    <mergeCell ref="B143:E143"/>
    <mergeCell ref="B149:E149"/>
    <mergeCell ref="B150:E150"/>
  </mergeCells>
  <dataValidations count="6">
    <dataValidation type="list" allowBlank="1" showInputMessage="1" showErrorMessage="1" sqref="B23 B17 B29 B35 B41" xr:uid="{115E8804-156D-4BE2-83E6-C16133ED5B06}">
      <formula1>"Capacidad,Conocimiento"</formula1>
    </dataValidation>
    <dataValidation type="list" allowBlank="1" showInputMessage="1" showErrorMessage="1" sqref="B24 B18 B30 B36 B42" xr:uid="{C31D51A3-F146-49C9-89AC-C495074B3A19}">
      <formula1>"Capacidades y competencias específicas del sector,Capacidades y competencias específicas de la ocupación,Capacidades y competencias transectoriales, Capacidades y competencias trasversales"</formula1>
    </dataValidation>
    <dataValidation type="list" allowBlank="1" showInputMessage="1" showErrorMessage="1" sqref="B55 B83 B69 B76 B62 B90 B97 B111 B104 B118" xr:uid="{E63F423E-ED0A-4D6D-8CF8-56BC9E291A2F}">
      <mc:AlternateContent xmlns:x12ac="http://schemas.microsoft.com/office/spreadsheetml/2011/1/ac" xmlns:mc="http://schemas.openxmlformats.org/markup-compatibility/2006">
        <mc:Choice Requires="x12ac">
          <x12ac:list>Aprendizaje profesional,Estudio automotivado,Experiencia laboral,Investigación,Laboratorio/simulación/tareas prácticas,Prácticas en empresas,Programa educativo,"Taller, seminario o conferencia",Tareas de aprendizaje electrónico,Tareas en aula,Voluntariado</x12ac:list>
        </mc:Choice>
        <mc:Fallback>
          <formula1>"Aprendizaje profesional,Estudio automotivado,Experiencia laboral,Investigación,Laboratorio/simulación/tareas prácticas,Prácticas en empresas,Programa educativo,Taller, seminario o conferencia,Tareas de aprendizaje electrónico,Tareas en aula,Voluntariado"</formula1>
        </mc:Fallback>
      </mc:AlternateContent>
    </dataValidation>
    <dataValidation type="list" allowBlank="1" showInputMessage="1" showErrorMessage="1" sqref="B159 B145 B138 B131 B152" xr:uid="{11266B14-CF4D-4BE7-9A87-EC8835F01513}">
      <formula1>"Presencial,Híbrido,Virtual"</formula1>
    </dataValidation>
    <dataValidation type="list" allowBlank="1" showInputMessage="1" showErrorMessage="1" sqref="B133 B154 B140 B147 B161" xr:uid="{6F634EC3-D80B-4E5E-8DB5-ADC9E485DBC9}">
      <formula1>"Apto/No apto/NP,0-10/NP"</formula1>
    </dataValidation>
    <dataValidation type="list" allowBlank="1" showInputMessage="1" showErrorMessage="1" sqref="D63 D84 D70 D77 D56 D91 D105 D112 D98 D119" xr:uid="{C1749A90-F570-4D5E-822A-75B8F43C3930}">
      <formula1>"Teórica,Práctica"</formula1>
    </dataValidation>
  </dataValidations>
  <pageMargins left="0.59055118110236227" right="0.59055118110236227" top="0.59055118110236227" bottom="0.59055118110236227" header="0.31496062992125984" footer="0.31496062992125984"/>
  <pageSetup paperSize="9" scale="73" fitToHeight="0" orientation="portrait" horizontalDpi="1200" verticalDpi="1200" r:id="rId1"/>
  <headerFooter>
    <oddFooter>&amp;L&amp;A&amp;C&amp;P de &amp;N&amp;R&amp;D&amp;T</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D606C57-1506-40B6-8510-F0E2590444F6}">
          <x14:formula1>
            <xm:f>Listado!$A$20:$A$24</xm:f>
          </x14:formula1>
          <xm:sqref>D111 D104 D97 D90 D83 D76 D69 D62 D55 D118</xm:sqref>
        </x14:dataValidation>
        <x14:dataValidation type="list" allowBlank="1" showInputMessage="1" showErrorMessage="1" xr:uid="{D4D2AAA7-E6F1-4DCF-B5E7-DD22EC9BAC93}">
          <x14:formula1>
            <xm:f>Listado!$I$2:$I$5</xm:f>
          </x14:formula1>
          <xm:sqref>B139 B160 B153 B146 B132</xm:sqref>
        </x14:dataValidation>
        <x14:dataValidation type="decimal" allowBlank="1" showInputMessage="1" showErrorMessage="1" xr:uid="{5662F2F5-6C5E-4FF0-8919-D63C99FEA6F3}">
          <x14:formula1>
            <xm:f>0</xm:f>
          </x14:formula1>
          <x14:formula2>
            <xm:f>'Datos generales'!$B$34</xm:f>
          </x14:formula2>
          <xm:sqref>D64 D71 D120 D78 D85 D92 D99 D106 D113 D57</xm:sqref>
        </x14:dataValidation>
        <x14:dataValidation type="whole" allowBlank="1" showInputMessage="1" showErrorMessage="1" xr:uid="{B1ED5F67-E93F-4BD6-87BC-411A0A2C92ED}">
          <x14:formula1>
            <xm:f>0</xm:f>
          </x14:formula1>
          <x14:formula2>
            <xm:f>'Datos generales'!$D$32</xm:f>
          </x14:formula2>
          <xm:sqref>D65 D72 D121 D79 D86 D93 D100 D107 D114 D58</xm:sqref>
        </x14:dataValidation>
        <x14:dataValidation type="whole" allowBlank="1" showInputMessage="1" showErrorMessage="1" xr:uid="{8E655601-5361-4177-89C4-98AD123A40F5}">
          <x14:formula1>
            <xm:f>1</xm:f>
          </x14:formula1>
          <x14:formula2>
            <xm:f>'Datos generales'!D110</xm:f>
          </x14:formula2>
          <xm:sqref>D123</xm:sqref>
        </x14:dataValidation>
        <x14:dataValidation type="whole" allowBlank="1" showInputMessage="1" showErrorMessage="1" xr:uid="{E43D947C-F02D-4571-995F-3C0B9F9FAB53}">
          <x14:formula1>
            <xm:f>1</xm:f>
          </x14:formula1>
          <x14:formula2>
            <xm:f>'Datos generales'!D110</xm:f>
          </x14:formula2>
          <xm:sqref>D122</xm:sqref>
        </x14:dataValidation>
        <x14:dataValidation type="whole" allowBlank="1" showInputMessage="1" showErrorMessage="1" xr:uid="{1ADD543D-55B0-446E-98E7-CE3A41A8F039}">
          <x14:formula1>
            <xm:f>1</xm:f>
          </x14:formula1>
          <x14:formula2>
            <xm:f>'Datos generales'!D90</xm:f>
          </x14:formula2>
          <xm:sqref>D94</xm:sqref>
        </x14:dataValidation>
        <x14:dataValidation type="whole" allowBlank="1" showInputMessage="1" showErrorMessage="1" xr:uid="{103D7AC7-9F6C-43A3-9823-3155B20725BB}">
          <x14:formula1>
            <xm:f>1</xm:f>
          </x14:formula1>
          <x14:formula2>
            <xm:f>'Datos generales'!D90</xm:f>
          </x14:formula2>
          <xm:sqref>D87</xm:sqref>
        </x14:dataValidation>
        <x14:dataValidation type="whole" allowBlank="1" showInputMessage="1" showErrorMessage="1" xr:uid="{09989715-2A2A-4878-B1BC-3FDF1365C16C}">
          <x14:formula1>
            <xm:f>1</xm:f>
          </x14:formula1>
          <x14:formula2>
            <xm:f>'Datos generales'!D91</xm:f>
          </x14:formula2>
          <xm:sqref>D124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A10-6C55-4835-8CDA-6C672BBE312B}">
  <sheetPr codeName="Hoja4">
    <tabColor theme="7" tint="0.79998168889431442"/>
    <pageSetUpPr fitToPage="1"/>
  </sheetPr>
  <dimension ref="A1:AB44"/>
  <sheetViews>
    <sheetView showGridLines="0" zoomScaleNormal="100" workbookViewId="0">
      <selection activeCell="B11" sqref="B11:E11"/>
    </sheetView>
  </sheetViews>
  <sheetFormatPr baseColWidth="10" defaultColWidth="11.44140625" defaultRowHeight="15.6" x14ac:dyDescent="0.3"/>
  <cols>
    <col min="1" max="1" width="37.5546875" style="1" customWidth="1"/>
    <col min="2" max="2" width="46.5546875" style="4" customWidth="1"/>
    <col min="3" max="3" width="14" style="4" customWidth="1"/>
    <col min="4" max="4" width="15" style="4" customWidth="1"/>
    <col min="5" max="5" width="15.5546875" style="4" customWidth="1"/>
    <col min="6" max="20" width="8.21875" style="4" customWidth="1"/>
    <col min="21" max="21" width="8.21875" style="43" customWidth="1"/>
    <col min="22" max="25" width="8.21875" style="35" hidden="1" customWidth="1"/>
    <col min="26" max="28" width="8.21875" style="1" customWidth="1"/>
    <col min="29" max="16384" width="11.44140625" style="1"/>
  </cols>
  <sheetData>
    <row r="1" spans="1:28" ht="15.6" customHeight="1" x14ac:dyDescent="0.3"/>
    <row r="2" spans="1:28" ht="15.6" customHeight="1" x14ac:dyDescent="0.3"/>
    <row r="3" spans="1:28" ht="15.6" customHeight="1" x14ac:dyDescent="0.3"/>
    <row r="4" spans="1:28" ht="15.6" customHeight="1" x14ac:dyDescent="0.3"/>
    <row r="5" spans="1:28" ht="15.6" customHeight="1" x14ac:dyDescent="0.3">
      <c r="A5" s="331" t="str">
        <f>"Microcredencial Universitaria en "&amp;TítuloMU</f>
        <v xml:space="preserve">Microcredencial Universitaria en </v>
      </c>
      <c r="B5" s="331"/>
      <c r="C5" s="331"/>
      <c r="D5" s="331"/>
      <c r="E5" s="331"/>
    </row>
    <row r="6" spans="1:28" ht="15.6" customHeight="1" x14ac:dyDescent="0.3">
      <c r="A6" s="3"/>
      <c r="B6" s="3"/>
      <c r="C6" s="3"/>
      <c r="D6" s="3"/>
      <c r="E6" s="3"/>
    </row>
    <row r="7" spans="1:28" ht="15.6" customHeight="1" x14ac:dyDescent="0.3">
      <c r="A7" s="279" t="s">
        <v>41</v>
      </c>
      <c r="B7" s="279"/>
      <c r="C7" s="279"/>
      <c r="D7" s="279"/>
      <c r="E7" s="279"/>
    </row>
    <row r="8" spans="1:28" ht="15.6" customHeight="1" x14ac:dyDescent="0.3"/>
    <row r="9" spans="1:28" ht="15.6" customHeight="1" x14ac:dyDescent="0.3">
      <c r="A9" s="325" t="s">
        <v>736</v>
      </c>
      <c r="B9" s="325"/>
      <c r="C9" s="325"/>
      <c r="D9" s="325"/>
      <c r="E9" s="325"/>
    </row>
    <row r="10" spans="1:28" ht="15.6" customHeight="1" x14ac:dyDescent="0.3">
      <c r="V10" s="35">
        <f>SUM(V11:V42)</f>
        <v>0</v>
      </c>
      <c r="W10" s="35" t="s">
        <v>371</v>
      </c>
    </row>
    <row r="11" spans="1:28" ht="31.2" customHeight="1" x14ac:dyDescent="0.3">
      <c r="A11" s="5" t="s">
        <v>61</v>
      </c>
      <c r="B11" s="332"/>
      <c r="C11" s="333"/>
      <c r="D11" s="333"/>
      <c r="E11" s="334"/>
      <c r="V11" s="35">
        <f>IF(AND(OR(Derecho1&lt;&gt;"",Derecho1.Desc&lt;&gt;"",Derecho1.Tipo&lt;&gt;"",Derecho1.Estado&lt;&gt;"",Derecho1.Valido&lt;&gt;"",,Derecho1.Otorgado&lt;&gt;""),OR(Derecho1="",Derecho1.Valido="",Derecho1.Estado="",,Derecho1.Otorgado="")),1,0)</f>
        <v>0</v>
      </c>
    </row>
    <row r="12" spans="1:28" ht="31.2" customHeight="1" x14ac:dyDescent="0.3">
      <c r="A12" s="9" t="s">
        <v>55</v>
      </c>
      <c r="B12" s="332"/>
      <c r="C12" s="333"/>
      <c r="D12" s="333"/>
      <c r="E12" s="334"/>
    </row>
    <row r="13" spans="1:28" ht="31.2" customHeight="1" x14ac:dyDescent="0.3">
      <c r="A13" s="9" t="s">
        <v>676</v>
      </c>
      <c r="B13" s="122"/>
      <c r="C13" s="42"/>
      <c r="D13" s="42"/>
      <c r="E13" s="42"/>
    </row>
    <row r="14" spans="1:28" ht="15.6" customHeight="1" x14ac:dyDescent="0.3">
      <c r="A14" s="1" t="s">
        <v>62</v>
      </c>
      <c r="B14" s="121"/>
      <c r="C14" s="13"/>
      <c r="D14" s="13"/>
      <c r="E14" s="13"/>
      <c r="F14" s="6"/>
      <c r="G14" s="6"/>
      <c r="H14" s="6"/>
      <c r="I14" s="6"/>
      <c r="J14" s="6"/>
      <c r="K14" s="6"/>
      <c r="L14" s="6"/>
      <c r="M14" s="6"/>
      <c r="N14" s="6"/>
      <c r="O14" s="6"/>
      <c r="P14" s="6"/>
      <c r="Q14" s="6"/>
      <c r="R14" s="6"/>
      <c r="S14" s="6"/>
      <c r="T14" s="6"/>
      <c r="U14" s="44"/>
      <c r="V14" s="6"/>
      <c r="W14" s="6"/>
      <c r="X14" s="6"/>
      <c r="Y14" s="6"/>
      <c r="Z14" s="6"/>
      <c r="AA14" s="6"/>
      <c r="AB14" s="7"/>
    </row>
    <row r="15" spans="1:28" ht="31.2" customHeight="1" x14ac:dyDescent="0.3">
      <c r="A15" s="8" t="s">
        <v>63</v>
      </c>
      <c r="B15" s="121"/>
      <c r="C15" s="13"/>
      <c r="D15" s="13"/>
      <c r="E15" s="13"/>
      <c r="F15" s="6"/>
      <c r="G15" s="6"/>
      <c r="H15" s="6"/>
      <c r="I15" s="6"/>
      <c r="J15" s="6"/>
      <c r="K15" s="6"/>
      <c r="L15" s="6"/>
      <c r="M15" s="6"/>
      <c r="N15" s="6"/>
      <c r="O15" s="6"/>
      <c r="P15" s="6"/>
      <c r="Q15" s="6"/>
      <c r="R15" s="6"/>
      <c r="S15" s="6"/>
      <c r="T15" s="6"/>
      <c r="U15" s="44"/>
      <c r="V15" s="6"/>
      <c r="W15" s="6"/>
      <c r="X15" s="6"/>
      <c r="Y15" s="6"/>
      <c r="Z15" s="6"/>
      <c r="AA15" s="6"/>
      <c r="AB15" s="7"/>
    </row>
    <row r="16" spans="1:28" ht="31.2" customHeight="1" x14ac:dyDescent="0.3">
      <c r="A16" s="8" t="s">
        <v>64</v>
      </c>
      <c r="B16" s="332"/>
      <c r="C16" s="333"/>
      <c r="D16" s="333"/>
      <c r="E16" s="334"/>
      <c r="F16" s="2"/>
      <c r="G16" s="2"/>
      <c r="H16" s="2"/>
      <c r="I16" s="2"/>
      <c r="J16" s="2"/>
      <c r="K16" s="2"/>
      <c r="L16" s="2"/>
      <c r="M16" s="2"/>
      <c r="N16" s="2"/>
      <c r="O16" s="2"/>
      <c r="P16" s="2"/>
      <c r="Q16" s="2"/>
      <c r="R16" s="2"/>
      <c r="S16" s="2"/>
      <c r="T16" s="2"/>
      <c r="U16" s="44"/>
      <c r="V16" s="6"/>
      <c r="W16" s="6"/>
      <c r="X16" s="6"/>
      <c r="Y16" s="6"/>
      <c r="Z16" s="2"/>
      <c r="AA16" s="2"/>
    </row>
    <row r="17" spans="1:28" ht="15.6" customHeight="1" x14ac:dyDescent="0.3">
      <c r="B17" s="13"/>
      <c r="C17" s="13"/>
      <c r="D17" s="13"/>
      <c r="E17" s="13"/>
    </row>
    <row r="18" spans="1:28" ht="31.2" customHeight="1" x14ac:dyDescent="0.3">
      <c r="A18" s="5" t="s">
        <v>68</v>
      </c>
      <c r="B18" s="332"/>
      <c r="C18" s="333"/>
      <c r="D18" s="333"/>
      <c r="E18" s="334"/>
      <c r="F18" s="6"/>
      <c r="G18" s="6"/>
      <c r="H18" s="6"/>
      <c r="I18" s="6"/>
      <c r="J18" s="6"/>
      <c r="K18" s="6"/>
      <c r="L18" s="6"/>
      <c r="M18" s="6"/>
      <c r="N18" s="6"/>
      <c r="O18" s="6"/>
      <c r="P18" s="6"/>
      <c r="Q18" s="6"/>
      <c r="R18" s="6"/>
      <c r="S18" s="6"/>
      <c r="T18" s="6"/>
      <c r="U18" s="44"/>
      <c r="V18" s="35">
        <f>IF(AND(OR(Derecho2&lt;&gt;"",Derecho2.Desc&lt;&gt;"",Derecho2.Tipo&lt;&gt;"",Derecho2.Estado&lt;&gt;"",Derecho2.Valido&lt;&gt;"",,Derecho2.Otorgado&lt;&gt;""),OR(Derecho2="",Derecho2.Valido="",Derecho2.Estado="",,Derecho2.Otorgado="")),1,0)</f>
        <v>0</v>
      </c>
      <c r="W18" s="6"/>
      <c r="X18" s="6"/>
      <c r="Y18" s="6"/>
      <c r="Z18" s="6"/>
      <c r="AA18" s="6"/>
      <c r="AB18" s="7"/>
    </row>
    <row r="19" spans="1:28" ht="31.2" customHeight="1" x14ac:dyDescent="0.3">
      <c r="A19" s="9" t="s">
        <v>55</v>
      </c>
      <c r="B19" s="332"/>
      <c r="C19" s="333"/>
      <c r="D19" s="333"/>
      <c r="E19" s="334"/>
    </row>
    <row r="20" spans="1:28" ht="31.2" customHeight="1" x14ac:dyDescent="0.3">
      <c r="A20" s="9" t="s">
        <v>676</v>
      </c>
      <c r="B20" s="122"/>
      <c r="C20" s="42"/>
      <c r="D20" s="42"/>
      <c r="E20" s="42"/>
    </row>
    <row r="21" spans="1:28" ht="15.6" customHeight="1" x14ac:dyDescent="0.3">
      <c r="A21" s="1" t="s">
        <v>62</v>
      </c>
      <c r="B21" s="121"/>
      <c r="C21" s="13"/>
      <c r="D21" s="13"/>
      <c r="E21" s="13"/>
    </row>
    <row r="22" spans="1:28" ht="31.2" customHeight="1" x14ac:dyDescent="0.3">
      <c r="A22" s="8" t="s">
        <v>63</v>
      </c>
      <c r="B22" s="121"/>
      <c r="C22" s="13"/>
      <c r="D22" s="13"/>
      <c r="E22" s="13"/>
    </row>
    <row r="23" spans="1:28" ht="31.2" customHeight="1" x14ac:dyDescent="0.3">
      <c r="A23" s="8" t="s">
        <v>64</v>
      </c>
      <c r="B23" s="332"/>
      <c r="C23" s="333"/>
      <c r="D23" s="333"/>
      <c r="E23" s="334"/>
    </row>
    <row r="24" spans="1:28" ht="15.6" customHeight="1" x14ac:dyDescent="0.3">
      <c r="B24" s="13"/>
      <c r="C24" s="13"/>
      <c r="D24" s="13"/>
      <c r="E24" s="13"/>
    </row>
    <row r="25" spans="1:28" ht="31.2" customHeight="1" x14ac:dyDescent="0.3">
      <c r="A25" s="5" t="s">
        <v>67</v>
      </c>
      <c r="B25" s="332"/>
      <c r="C25" s="333"/>
      <c r="D25" s="333"/>
      <c r="E25" s="334"/>
      <c r="V25" s="35">
        <f>IF(AND(OR(Derecho3&lt;&gt;"",Derecho3.Desc&lt;&gt;"",Derecho3.Tipo&lt;&gt;"",Derecho3.Estado&lt;&gt;"",Derecho3.Valido&lt;&gt;"",Derecho3.Otorgado&lt;&gt;""),OR(Derecho3="",Derecho3.Valido="",Derecho3.Estado="",,Derecho3.Otorgado="")),1,0)</f>
        <v>0</v>
      </c>
    </row>
    <row r="26" spans="1:28" ht="31.2" customHeight="1" x14ac:dyDescent="0.3">
      <c r="A26" s="9" t="s">
        <v>55</v>
      </c>
      <c r="B26" s="332"/>
      <c r="C26" s="333"/>
      <c r="D26" s="333"/>
      <c r="E26" s="334"/>
    </row>
    <row r="27" spans="1:28" ht="31.2" customHeight="1" x14ac:dyDescent="0.3">
      <c r="A27" s="9" t="s">
        <v>676</v>
      </c>
      <c r="B27" s="122"/>
      <c r="C27" s="42"/>
      <c r="D27" s="42"/>
      <c r="E27" s="42"/>
    </row>
    <row r="28" spans="1:28" ht="15.6" customHeight="1" x14ac:dyDescent="0.3">
      <c r="A28" s="1" t="s">
        <v>62</v>
      </c>
      <c r="B28" s="121"/>
      <c r="C28" s="13"/>
      <c r="D28" s="13"/>
      <c r="E28" s="13"/>
    </row>
    <row r="29" spans="1:28" ht="31.2" customHeight="1" x14ac:dyDescent="0.3">
      <c r="A29" s="8" t="s">
        <v>63</v>
      </c>
      <c r="B29" s="121"/>
      <c r="C29" s="13"/>
      <c r="D29" s="13"/>
      <c r="E29" s="13"/>
    </row>
    <row r="30" spans="1:28" ht="31.2" customHeight="1" x14ac:dyDescent="0.3">
      <c r="A30" s="8" t="s">
        <v>64</v>
      </c>
      <c r="B30" s="332"/>
      <c r="C30" s="333"/>
      <c r="D30" s="333"/>
      <c r="E30" s="334"/>
    </row>
    <row r="31" spans="1:28" ht="15.6" customHeight="1" x14ac:dyDescent="0.3">
      <c r="B31" s="13"/>
      <c r="C31" s="13"/>
      <c r="D31" s="13"/>
      <c r="E31" s="13"/>
    </row>
    <row r="32" spans="1:28" ht="31.2" customHeight="1" x14ac:dyDescent="0.3">
      <c r="A32" s="5" t="s">
        <v>66</v>
      </c>
      <c r="B32" s="332"/>
      <c r="C32" s="333"/>
      <c r="D32" s="333"/>
      <c r="E32" s="334"/>
      <c r="V32" s="35">
        <f>IF(AND(OR(Derecho4&lt;&gt;"",Derecho4.Desc&lt;&gt;"",Derecho4.Tipo&lt;&gt;"",Derecho4.Estado&lt;&gt;"",Derecho4.Valido&lt;&gt;"",Derecho4.Otorgado&lt;&gt;""),OR(Derecho4="",Derecho4.Valido="",Derecho4.Estado="",Derecho4.Otorgado="")),1,0)</f>
        <v>0</v>
      </c>
    </row>
    <row r="33" spans="1:22" ht="31.2" customHeight="1" x14ac:dyDescent="0.3">
      <c r="A33" s="9" t="s">
        <v>55</v>
      </c>
      <c r="B33" s="332"/>
      <c r="C33" s="333"/>
      <c r="D33" s="333"/>
      <c r="E33" s="334"/>
    </row>
    <row r="34" spans="1:22" ht="31.2" customHeight="1" x14ac:dyDescent="0.3">
      <c r="A34" s="9" t="s">
        <v>676</v>
      </c>
      <c r="B34" s="122"/>
      <c r="C34" s="42"/>
      <c r="D34" s="42"/>
      <c r="E34" s="42"/>
    </row>
    <row r="35" spans="1:22" ht="15.6" customHeight="1" x14ac:dyDescent="0.3">
      <c r="A35" s="1" t="s">
        <v>62</v>
      </c>
      <c r="B35" s="121"/>
      <c r="C35" s="13"/>
      <c r="D35" s="13"/>
      <c r="E35" s="13"/>
    </row>
    <row r="36" spans="1:22" ht="31.2" customHeight="1" x14ac:dyDescent="0.3">
      <c r="A36" s="8" t="s">
        <v>63</v>
      </c>
      <c r="B36" s="121"/>
      <c r="C36" s="13"/>
      <c r="D36" s="13"/>
      <c r="E36" s="13"/>
    </row>
    <row r="37" spans="1:22" ht="31.2" customHeight="1" x14ac:dyDescent="0.3">
      <c r="A37" s="8" t="s">
        <v>64</v>
      </c>
      <c r="B37" s="332"/>
      <c r="C37" s="333"/>
      <c r="D37" s="333"/>
      <c r="E37" s="334"/>
    </row>
    <row r="38" spans="1:22" ht="15.6" customHeight="1" x14ac:dyDescent="0.3">
      <c r="B38" s="13"/>
      <c r="C38" s="13"/>
      <c r="D38" s="13"/>
      <c r="E38" s="13"/>
    </row>
    <row r="39" spans="1:22" ht="31.2" customHeight="1" x14ac:dyDescent="0.3">
      <c r="A39" s="5" t="s">
        <v>65</v>
      </c>
      <c r="B39" s="332"/>
      <c r="C39" s="333"/>
      <c r="D39" s="333"/>
      <c r="E39" s="334"/>
      <c r="V39" s="35">
        <f>IF(AND(OR(Derecho5&lt;&gt;"",Derecho5.Desc&lt;&gt;"",Derecho5.Tipo&lt;&gt;"",Derecho5.Estado&lt;&gt;"",Derecho5.Valido&lt;&gt;"",Derecho5.Otorgado&lt;&gt;""),OR(Derecho5="",Derecho5.Valido="",Derecho5.Estado="",Derecho5.Otorgado="")),1,0)</f>
        <v>0</v>
      </c>
    </row>
    <row r="40" spans="1:22" ht="31.2" customHeight="1" x14ac:dyDescent="0.3">
      <c r="A40" s="9" t="s">
        <v>55</v>
      </c>
      <c r="B40" s="332"/>
      <c r="C40" s="333"/>
      <c r="D40" s="333"/>
      <c r="E40" s="334"/>
    </row>
    <row r="41" spans="1:22" ht="31.2" customHeight="1" x14ac:dyDescent="0.3">
      <c r="A41" s="9" t="s">
        <v>676</v>
      </c>
      <c r="B41" s="122"/>
      <c r="C41" s="42"/>
      <c r="D41" s="42"/>
      <c r="E41" s="42"/>
    </row>
    <row r="42" spans="1:22" ht="15.6" customHeight="1" x14ac:dyDescent="0.3">
      <c r="A42" s="1" t="s">
        <v>62</v>
      </c>
      <c r="B42" s="121"/>
      <c r="C42" s="13"/>
      <c r="D42" s="13"/>
      <c r="E42" s="13"/>
    </row>
    <row r="43" spans="1:22" ht="31.2" customHeight="1" x14ac:dyDescent="0.3">
      <c r="A43" s="8" t="s">
        <v>63</v>
      </c>
      <c r="B43" s="121"/>
      <c r="C43" s="13"/>
      <c r="D43" s="13"/>
      <c r="E43" s="13"/>
    </row>
    <row r="44" spans="1:22" ht="31.2" customHeight="1" x14ac:dyDescent="0.3">
      <c r="A44" s="8" t="s">
        <v>64</v>
      </c>
      <c r="B44" s="332"/>
      <c r="C44" s="333"/>
      <c r="D44" s="333"/>
      <c r="E44" s="334"/>
    </row>
  </sheetData>
  <sheetProtection algorithmName="SHA-512" hashValue="srue1rEDiTsKCViPEhg98LctRiEEOJEe/vtunf5DARuOEvuk4JfQrJFUWIoyj0m5NcEKxxCy/lAIin+giQu7dA==" saltValue="euaxyz1f/cVbBz6vTgXd1g==" spinCount="100000" sheet="1" objects="1" scenarios="1" selectLockedCells="1"/>
  <mergeCells count="18">
    <mergeCell ref="A5:E5"/>
    <mergeCell ref="A7:E7"/>
    <mergeCell ref="B11:E11"/>
    <mergeCell ref="B16:E16"/>
    <mergeCell ref="B12:E12"/>
    <mergeCell ref="A9:E9"/>
    <mergeCell ref="B40:E40"/>
    <mergeCell ref="B44:E44"/>
    <mergeCell ref="B23:E23"/>
    <mergeCell ref="B26:E26"/>
    <mergeCell ref="B30:E30"/>
    <mergeCell ref="B33:E33"/>
    <mergeCell ref="B18:E18"/>
    <mergeCell ref="B19:E19"/>
    <mergeCell ref="B25:E25"/>
    <mergeCell ref="B32:E32"/>
    <mergeCell ref="B39:E39"/>
    <mergeCell ref="B37:E37"/>
  </mergeCells>
  <dataValidations count="2">
    <dataValidation type="list" allowBlank="1" showInputMessage="1" showErrorMessage="1" sqref="B14 B21 B28 B35 B42" xr:uid="{C5176094-D2D4-4895-A03F-ED1999AE3935}">
      <formula1>"Afiliación,Oportunidad de aprendizaje,Profesión"</formula1>
    </dataValidation>
    <dataValidation type="list" allowBlank="1" showInputMessage="1" showErrorMessage="1" sqref="B15 B22 B29 B36 B43" xr:uid="{7168DF53-9015-4AE0-B78D-E7A2008BC8FF}">
      <formula1>"Efectivo,Prospectivo"</formula1>
    </dataValidation>
  </dataValidations>
  <pageMargins left="0.59055118110236227" right="0.59055118110236227" top="0.59055118110236227" bottom="0.59055118110236227" header="0.31496062992125984" footer="0.31496062992125984"/>
  <pageSetup paperSize="9" scale="30" fitToHeight="0" orientation="portrait" horizontalDpi="0" verticalDpi="0" r:id="rId1"/>
  <headerFooter>
    <oddFooter>&amp;L&amp;A&amp;C&amp;P de &amp;N&amp;R&amp;D&amp;T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46DC-EF4D-472C-9434-321B04FB3379}">
  <sheetPr codeName="Hoja5">
    <tabColor theme="0" tint="-0.14999847407452621"/>
    <pageSetUpPr fitToPage="1"/>
  </sheetPr>
  <dimension ref="A1:O52"/>
  <sheetViews>
    <sheetView showGridLines="0" workbookViewId="0">
      <selection activeCell="A13" sqref="A13:F13"/>
    </sheetView>
  </sheetViews>
  <sheetFormatPr baseColWidth="10" defaultColWidth="11.44140625" defaultRowHeight="15.6" x14ac:dyDescent="0.3"/>
  <cols>
    <col min="1" max="1" width="5.44140625" style="1" customWidth="1"/>
    <col min="2" max="2" width="62.44140625" style="4" customWidth="1"/>
    <col min="3" max="3" width="18.5546875" style="4" customWidth="1"/>
    <col min="4" max="4" width="10.77734375" style="4" customWidth="1"/>
    <col min="5" max="5" width="9.6640625" style="4" customWidth="1"/>
    <col min="6" max="6" width="13.21875" style="4" customWidth="1"/>
    <col min="7" max="7" width="8.21875" style="4" customWidth="1"/>
    <col min="8" max="8" width="59.44140625" style="1" customWidth="1"/>
    <col min="9" max="15" width="8.21875" style="1" customWidth="1"/>
    <col min="16" max="16384" width="11.44140625" style="1"/>
  </cols>
  <sheetData>
    <row r="1" spans="1:8" ht="15.6" customHeight="1" x14ac:dyDescent="0.3"/>
    <row r="2" spans="1:8" ht="15.6" customHeight="1" x14ac:dyDescent="0.3"/>
    <row r="3" spans="1:8" ht="15.6" customHeight="1" x14ac:dyDescent="0.3"/>
    <row r="4" spans="1:8" ht="15.6" customHeight="1" x14ac:dyDescent="0.3"/>
    <row r="5" spans="1:8" ht="15.6" customHeight="1" x14ac:dyDescent="0.3"/>
    <row r="6" spans="1:8" ht="15.6" customHeight="1" x14ac:dyDescent="0.3"/>
    <row r="7" spans="1:8" ht="15.6" customHeight="1" x14ac:dyDescent="0.3">
      <c r="A7" s="331" t="str">
        <f>"Microcredencial Universitaria en "&amp;TítuloMU</f>
        <v xml:space="preserve">Microcredencial Universitaria en </v>
      </c>
      <c r="B7" s="331"/>
      <c r="C7" s="331"/>
      <c r="D7" s="331"/>
      <c r="E7" s="331"/>
      <c r="F7" s="331"/>
    </row>
    <row r="8" spans="1:8" ht="15.6" customHeight="1" x14ac:dyDescent="0.3"/>
    <row r="9" spans="1:8" ht="15.6" customHeight="1" x14ac:dyDescent="0.3">
      <c r="A9" s="3"/>
      <c r="B9" s="3"/>
      <c r="C9" s="3"/>
      <c r="D9" s="3"/>
      <c r="E9" s="3"/>
      <c r="F9" s="3"/>
    </row>
    <row r="10" spans="1:8" ht="15.6" customHeight="1" x14ac:dyDescent="0.3">
      <c r="A10" s="279" t="s">
        <v>92</v>
      </c>
      <c r="B10" s="279"/>
      <c r="C10" s="279"/>
      <c r="D10" s="279"/>
      <c r="E10" s="279"/>
      <c r="F10" s="279"/>
    </row>
    <row r="11" spans="1:8" ht="15.6" customHeight="1" x14ac:dyDescent="0.3"/>
    <row r="12" spans="1:8" ht="31.2" customHeight="1" x14ac:dyDescent="0.3">
      <c r="A12" s="338" t="s">
        <v>728</v>
      </c>
      <c r="B12" s="339"/>
      <c r="C12" s="339"/>
      <c r="D12" s="339"/>
      <c r="E12" s="339"/>
      <c r="F12" s="340"/>
    </row>
    <row r="13" spans="1:8" ht="156" customHeight="1" x14ac:dyDescent="0.3">
      <c r="A13" s="335"/>
      <c r="B13" s="336"/>
      <c r="C13" s="336"/>
      <c r="D13" s="336"/>
      <c r="E13" s="336"/>
      <c r="F13" s="337"/>
      <c r="H13" s="8"/>
    </row>
    <row r="14" spans="1:8" ht="15.6" customHeight="1" x14ac:dyDescent="0.3"/>
    <row r="15" spans="1:8" ht="31.2" customHeight="1" x14ac:dyDescent="0.3">
      <c r="A15" s="338" t="s">
        <v>729</v>
      </c>
      <c r="B15" s="339"/>
      <c r="C15" s="339"/>
      <c r="D15" s="339"/>
      <c r="E15" s="339"/>
      <c r="F15" s="340"/>
    </row>
    <row r="16" spans="1:8" ht="156" customHeight="1" x14ac:dyDescent="0.3">
      <c r="A16" s="335"/>
      <c r="B16" s="336"/>
      <c r="C16" s="336"/>
      <c r="D16" s="336"/>
      <c r="E16" s="336"/>
      <c r="F16" s="337"/>
      <c r="H16" s="8"/>
    </row>
    <row r="17" spans="1:13" ht="15.6" customHeight="1" x14ac:dyDescent="0.3">
      <c r="A17" s="123"/>
      <c r="B17" s="124"/>
      <c r="C17" s="124"/>
      <c r="D17" s="124"/>
      <c r="E17" s="124"/>
    </row>
    <row r="18" spans="1:13" ht="31.2" customHeight="1" x14ac:dyDescent="0.3">
      <c r="A18" s="338" t="s">
        <v>93</v>
      </c>
      <c r="B18" s="339"/>
      <c r="C18" s="339"/>
      <c r="D18" s="339"/>
      <c r="E18" s="339"/>
      <c r="F18" s="340"/>
    </row>
    <row r="19" spans="1:13" ht="15.6" customHeight="1" x14ac:dyDescent="0.3">
      <c r="A19" s="63"/>
      <c r="B19" s="124"/>
      <c r="C19" s="124"/>
      <c r="D19" s="124"/>
      <c r="E19" s="124"/>
    </row>
    <row r="20" spans="1:13" s="127" customFormat="1" ht="31.2" customHeight="1" x14ac:dyDescent="0.3">
      <c r="A20" s="344" t="s">
        <v>73</v>
      </c>
      <c r="B20" s="345"/>
      <c r="C20" s="212" t="s">
        <v>29</v>
      </c>
      <c r="D20" s="212" t="s">
        <v>33</v>
      </c>
      <c r="E20" s="212" t="s">
        <v>30</v>
      </c>
      <c r="F20" s="212" t="s">
        <v>75</v>
      </c>
      <c r="G20" s="126"/>
    </row>
    <row r="21" spans="1:13" ht="15.6" customHeight="1" x14ac:dyDescent="0.3">
      <c r="A21" s="213">
        <v>1</v>
      </c>
      <c r="B21" s="263" t="str">
        <f>IFERROR(TEXT(Actividad1,),"")</f>
        <v/>
      </c>
      <c r="C21" s="262" t="str">
        <f>IFERROR(TEXT(ModAct1,),"")</f>
        <v/>
      </c>
      <c r="D21" s="129" t="str">
        <f>IFERROR(TEXT(TipoDAct1,),"")</f>
        <v/>
      </c>
      <c r="E21" s="129" t="str">
        <f>IF(B21="","",IFERROR(HProf1,0))</f>
        <v/>
      </c>
      <c r="F21" s="129" t="str">
        <f>IF(B21="","",IFERROR(Horas1,0))</f>
        <v/>
      </c>
      <c r="G21" s="59"/>
      <c r="I21" s="59"/>
      <c r="J21" s="59"/>
      <c r="K21" s="59"/>
      <c r="L21" s="59"/>
      <c r="M21" s="59"/>
    </row>
    <row r="22" spans="1:13" ht="15.6" customHeight="1" x14ac:dyDescent="0.3">
      <c r="A22" s="213">
        <v>2</v>
      </c>
      <c r="B22" s="263" t="str">
        <f>IFERROR(TEXT(Actividad2,),"")</f>
        <v/>
      </c>
      <c r="C22" s="262" t="str" cm="1">
        <f t="array" ref="C22">IFERROR(TEXT(ModAct2,),"")</f>
        <v/>
      </c>
      <c r="D22" s="129" t="str" cm="1">
        <f t="array" ref="D22">IFERROR(TEXT(TipoDAct2,),"")</f>
        <v/>
      </c>
      <c r="E22" s="129" t="str" cm="1">
        <f t="array" ref="E22">IF(B22="","",IFERROR(HProf2,0))</f>
        <v/>
      </c>
      <c r="F22" s="129" t="str" cm="1">
        <f t="array" ref="F22">IF(B22="","",IFERROR(Horas2,0))</f>
        <v/>
      </c>
      <c r="G22" s="59"/>
      <c r="I22" s="59"/>
      <c r="J22" s="59"/>
      <c r="K22" s="59"/>
      <c r="L22" s="59"/>
      <c r="M22" s="59"/>
    </row>
    <row r="23" spans="1:13" ht="15.6" customHeight="1" x14ac:dyDescent="0.3">
      <c r="A23" s="213">
        <v>3</v>
      </c>
      <c r="B23" s="263" t="str">
        <f>IFERROR(TEXT(Actividad3,),"")</f>
        <v/>
      </c>
      <c r="C23" s="262" t="str" cm="1">
        <f t="array" ref="C23">IFERROR(TEXT(ModAct3,),"")</f>
        <v/>
      </c>
      <c r="D23" s="129" t="str" cm="1">
        <f t="array" ref="D23">IFERROR(TEXT(TipoDAct3,),"")</f>
        <v/>
      </c>
      <c r="E23" s="129" t="str" cm="1">
        <f t="array" ref="E23">IF(B23="","",IFERROR(HProf3,0))</f>
        <v/>
      </c>
      <c r="F23" s="129" t="str" cm="1">
        <f t="array" ref="F23">IF(B23="","",IFERROR(Horas3,0))</f>
        <v/>
      </c>
      <c r="G23" s="59"/>
      <c r="I23" s="59"/>
      <c r="J23" s="59"/>
      <c r="K23" s="59"/>
      <c r="L23" s="59"/>
      <c r="M23" s="59"/>
    </row>
    <row r="24" spans="1:13" ht="15.6" customHeight="1" x14ac:dyDescent="0.3">
      <c r="A24" s="213">
        <v>4</v>
      </c>
      <c r="B24" s="263" t="str">
        <f>IFERROR(TEXT(Actividad4,),"")</f>
        <v/>
      </c>
      <c r="C24" s="262" t="str" cm="1">
        <f t="array" ref="C24">IFERROR(TEXT(ModAct4,),"")</f>
        <v/>
      </c>
      <c r="D24" s="129" t="str" cm="1">
        <f t="array" ref="D24">IFERROR(TEXT(TipoDAct4,),"")</f>
        <v/>
      </c>
      <c r="E24" s="129" t="str" cm="1">
        <f t="array" ref="E24">IF(B24="","",IFERROR(HProf4,0))</f>
        <v/>
      </c>
      <c r="F24" s="129" t="str" cm="1">
        <f t="array" ref="F24">IF(B24="","",IFERROR(Horas4,0))</f>
        <v/>
      </c>
      <c r="G24" s="59"/>
      <c r="I24" s="59"/>
      <c r="J24" s="59"/>
      <c r="K24" s="59"/>
      <c r="L24" s="59"/>
      <c r="M24" s="59"/>
    </row>
    <row r="25" spans="1:13" ht="15.6" customHeight="1" x14ac:dyDescent="0.3">
      <c r="A25" s="213">
        <v>5</v>
      </c>
      <c r="B25" s="263" t="str">
        <f>IFERROR(TEXT(Actividad5,),"")</f>
        <v/>
      </c>
      <c r="C25" s="262" t="str" cm="1">
        <f t="array" ref="C25">IFERROR(TEXT(ModAct5,),"")</f>
        <v/>
      </c>
      <c r="D25" s="129" t="str" cm="1">
        <f t="array" ref="D25">IFERROR(TEXT(TipoDAct5,),"")</f>
        <v/>
      </c>
      <c r="E25" s="129" t="str" cm="1">
        <f t="array" ref="E25">IF(B25="","",IFERROR(HProf5,0))</f>
        <v/>
      </c>
      <c r="F25" s="129" t="str" cm="1">
        <f t="array" ref="F25">IF(B25="","",IFERROR(Horas5,0))</f>
        <v/>
      </c>
      <c r="G25" s="59"/>
      <c r="I25" s="59"/>
      <c r="J25" s="59"/>
      <c r="K25" s="59"/>
      <c r="L25" s="59"/>
      <c r="M25" s="59"/>
    </row>
    <row r="26" spans="1:13" ht="15.6" customHeight="1" x14ac:dyDescent="0.3">
      <c r="A26" s="213">
        <v>6</v>
      </c>
      <c r="B26" s="256" t="str">
        <f>IFERROR(TEXT(Actividad6,),"")</f>
        <v/>
      </c>
      <c r="C26" s="129" t="str">
        <f>IFERROR(TEXT(ModAct6,),"")</f>
        <v/>
      </c>
      <c r="D26" s="129" t="str">
        <f>IFERROR(TEXT(TipoDAct6,),"")</f>
        <v/>
      </c>
      <c r="E26" s="129" t="str">
        <f>IF(B26="","",IFERROR(HProf6,0))</f>
        <v/>
      </c>
      <c r="F26" s="129" t="str">
        <f>IF(B26="","",IFERROR(Horas6,0))</f>
        <v/>
      </c>
      <c r="G26" s="59"/>
      <c r="I26" s="59"/>
      <c r="J26" s="59"/>
      <c r="K26" s="59"/>
      <c r="L26" s="59"/>
      <c r="M26" s="59"/>
    </row>
    <row r="27" spans="1:13" ht="15.6" customHeight="1" x14ac:dyDescent="0.3">
      <c r="A27" s="213">
        <v>7</v>
      </c>
      <c r="B27" s="256" t="str">
        <f>IFERROR(TEXT(Actividad7,),"")</f>
        <v/>
      </c>
      <c r="C27" s="129" t="str">
        <f>IFERROR(TEXT(ModAct7,),"")</f>
        <v/>
      </c>
      <c r="D27" s="129" t="str">
        <f>IFERROR(TEXT(TipoDAct7,),"")</f>
        <v/>
      </c>
      <c r="E27" s="129" t="str">
        <f>IF(B27="","",IFERROR(HProf7,0))</f>
        <v/>
      </c>
      <c r="F27" s="129" t="str">
        <f>IF(B27="","",IFERROR(Horas7,0))</f>
        <v/>
      </c>
      <c r="G27" s="59"/>
      <c r="I27" s="59"/>
      <c r="J27" s="59"/>
      <c r="K27" s="59"/>
      <c r="L27" s="59"/>
      <c r="M27" s="59"/>
    </row>
    <row r="28" spans="1:13" ht="15.6" customHeight="1" x14ac:dyDescent="0.3">
      <c r="A28" s="213">
        <v>8</v>
      </c>
      <c r="B28" s="256" t="str">
        <f>IFERROR(TEXT(Actividad8,),"")</f>
        <v/>
      </c>
      <c r="C28" s="129" t="str">
        <f>IFERROR(TEXT(ModAct8,),"")</f>
        <v/>
      </c>
      <c r="D28" s="129" t="str">
        <f>IFERROR(TEXT(TipoDAct8,),"")</f>
        <v/>
      </c>
      <c r="E28" s="129" t="str">
        <f>IF(B28="","",IFERROR(HProf8,0))</f>
        <v/>
      </c>
      <c r="F28" s="129" t="str">
        <f>IF(B28="","",IFERROR(Horas8,0))</f>
        <v/>
      </c>
      <c r="G28" s="59"/>
      <c r="I28" s="59"/>
      <c r="J28" s="59"/>
      <c r="K28" s="59"/>
      <c r="L28" s="59"/>
      <c r="M28" s="59"/>
    </row>
    <row r="29" spans="1:13" ht="15.6" customHeight="1" x14ac:dyDescent="0.3">
      <c r="A29" s="213">
        <v>9</v>
      </c>
      <c r="B29" s="256" t="str">
        <f>IFERROR(TEXT(Actividad9,),"")</f>
        <v/>
      </c>
      <c r="C29" s="129" t="str">
        <f>IFERROR(TEXT(ModAct9,),"")</f>
        <v/>
      </c>
      <c r="D29" s="129" t="str">
        <f>IFERROR(TEXT(TipoDAct9,),"")</f>
        <v/>
      </c>
      <c r="E29" s="129" t="str">
        <f>IF(B29="","",IFERROR(HProf9,0))</f>
        <v/>
      </c>
      <c r="F29" s="129" t="str">
        <f>IF(B29="","",IFERROR(Horas9,0))</f>
        <v/>
      </c>
      <c r="G29" s="59"/>
      <c r="I29" s="59"/>
      <c r="J29" s="59"/>
      <c r="K29" s="59"/>
      <c r="L29" s="59"/>
      <c r="M29" s="59"/>
    </row>
    <row r="30" spans="1:13" ht="15.6" customHeight="1" x14ac:dyDescent="0.3">
      <c r="A30" s="214">
        <v>10</v>
      </c>
      <c r="B30" s="266" t="str">
        <f>IFERROR(TEXT(Actividad10,),"")</f>
        <v/>
      </c>
      <c r="C30" s="129" t="str">
        <f>IFERROR(TEXT(ModAct10,),"")</f>
        <v/>
      </c>
      <c r="D30" s="265" t="str">
        <f>IFERROR(TEXT(TipoDAct10,),"")</f>
        <v/>
      </c>
      <c r="E30" s="129" t="str">
        <f>IF(B30="","",IFERROR(HProf10,0))</f>
        <v/>
      </c>
      <c r="F30" s="129" t="str">
        <f>IF(B30="","",IFERROR(Horas10,0))</f>
        <v/>
      </c>
      <c r="G30" s="59"/>
      <c r="I30" s="59"/>
      <c r="J30" s="59"/>
      <c r="K30" s="59"/>
      <c r="L30" s="59"/>
      <c r="M30" s="59"/>
    </row>
    <row r="31" spans="1:13" ht="31.2" customHeight="1" x14ac:dyDescent="0.3">
      <c r="A31" s="130"/>
      <c r="D31" s="212" t="s">
        <v>124</v>
      </c>
      <c r="E31" s="264">
        <f>SUM(E21:E30)</f>
        <v>0</v>
      </c>
      <c r="F31" s="243">
        <f>SUM(F21:F30)</f>
        <v>0</v>
      </c>
      <c r="G31" s="1"/>
    </row>
    <row r="32" spans="1:13" ht="29.25" customHeight="1" x14ac:dyDescent="0.3">
      <c r="A32" s="346" t="str">
        <f>IF(E31=0,"",IF('Memoria académica'!E31='Datos generales'!B34,"","El total de horas del profesor no coincide con las consignadas en la hoja de Datos generales"))</f>
        <v/>
      </c>
      <c r="B32" s="346"/>
      <c r="C32" s="346" t="str">
        <f>IF(F31=0,"",IF('Memoria académica'!F31='Datos generales'!D32,"","El total de horas del estudiante no coincide con las consignadas en la hoja de Datos generales"))</f>
        <v/>
      </c>
      <c r="D32" s="346"/>
      <c r="E32" s="346"/>
      <c r="F32" s="346"/>
    </row>
    <row r="33" spans="1:15" ht="25.05" customHeight="1" x14ac:dyDescent="0.3">
      <c r="A33" s="132"/>
      <c r="B33" s="132"/>
      <c r="C33" s="132"/>
      <c r="D33" s="132"/>
      <c r="E33" s="132"/>
      <c r="F33" s="132"/>
    </row>
    <row r="34" spans="1:15" s="4" customFormat="1" ht="31.2" customHeight="1" x14ac:dyDescent="0.3">
      <c r="A34" s="338" t="s">
        <v>737</v>
      </c>
      <c r="B34" s="339"/>
      <c r="C34" s="339"/>
      <c r="D34" s="339"/>
      <c r="E34" s="339"/>
      <c r="F34" s="340"/>
      <c r="H34" s="1"/>
      <c r="I34" s="1"/>
      <c r="J34" s="1"/>
      <c r="K34" s="1"/>
      <c r="L34" s="1"/>
      <c r="M34" s="1"/>
      <c r="N34" s="1"/>
      <c r="O34" s="1"/>
    </row>
    <row r="35" spans="1:15" s="4" customFormat="1" ht="124.8" customHeight="1" x14ac:dyDescent="0.3">
      <c r="A35" s="335"/>
      <c r="B35" s="336"/>
      <c r="C35" s="336"/>
      <c r="D35" s="336"/>
      <c r="E35" s="336"/>
      <c r="F35" s="337"/>
      <c r="H35" s="8"/>
      <c r="I35" s="1"/>
      <c r="J35" s="1"/>
      <c r="K35" s="1"/>
      <c r="L35" s="1"/>
      <c r="M35" s="1"/>
      <c r="N35" s="1"/>
      <c r="O35" s="1"/>
    </row>
    <row r="36" spans="1:15" s="4" customFormat="1" ht="25.05" customHeight="1" x14ac:dyDescent="0.3">
      <c r="A36" s="1"/>
      <c r="H36" s="1"/>
      <c r="I36" s="1"/>
      <c r="J36" s="1"/>
      <c r="K36" s="1"/>
      <c r="L36" s="1"/>
      <c r="M36" s="1"/>
      <c r="N36" s="1"/>
      <c r="O36" s="1"/>
    </row>
    <row r="37" spans="1:15" s="4" customFormat="1" ht="31.2" customHeight="1" x14ac:dyDescent="0.3">
      <c r="A37" s="338" t="s">
        <v>730</v>
      </c>
      <c r="B37" s="339"/>
      <c r="C37" s="339"/>
      <c r="D37" s="339"/>
      <c r="E37" s="339"/>
      <c r="F37" s="340"/>
      <c r="H37" s="1"/>
      <c r="I37" s="1"/>
      <c r="J37" s="1"/>
      <c r="K37" s="1"/>
      <c r="L37" s="1"/>
      <c r="M37" s="1"/>
      <c r="N37" s="1"/>
      <c r="O37" s="1"/>
    </row>
    <row r="38" spans="1:15" s="4" customFormat="1" ht="140.4" customHeight="1" x14ac:dyDescent="0.3">
      <c r="A38" s="341"/>
      <c r="B38" s="342"/>
      <c r="C38" s="342"/>
      <c r="D38" s="342"/>
      <c r="E38" s="342"/>
      <c r="F38" s="343"/>
      <c r="H38" s="8"/>
      <c r="I38" s="1"/>
      <c r="J38" s="1"/>
      <c r="K38" s="1"/>
      <c r="L38" s="1"/>
      <c r="M38" s="1"/>
      <c r="N38" s="1"/>
      <c r="O38" s="1"/>
    </row>
    <row r="39" spans="1:15" s="4" customFormat="1" ht="25.05" customHeight="1" x14ac:dyDescent="0.3">
      <c r="A39" s="1"/>
      <c r="H39" s="1"/>
      <c r="I39" s="1"/>
      <c r="J39" s="1"/>
      <c r="K39" s="1"/>
      <c r="L39" s="1"/>
      <c r="M39" s="1"/>
      <c r="N39" s="1"/>
      <c r="O39" s="1"/>
    </row>
    <row r="40" spans="1:15" s="4" customFormat="1" ht="31.2" customHeight="1" x14ac:dyDescent="0.3">
      <c r="A40" s="338" t="s">
        <v>731</v>
      </c>
      <c r="B40" s="339"/>
      <c r="C40" s="339"/>
      <c r="D40" s="339"/>
      <c r="E40" s="339"/>
      <c r="F40" s="340"/>
      <c r="H40" s="1"/>
      <c r="I40" s="1"/>
      <c r="J40" s="1"/>
      <c r="K40" s="1"/>
      <c r="L40" s="1"/>
      <c r="M40" s="1"/>
      <c r="N40" s="1"/>
      <c r="O40" s="1"/>
    </row>
    <row r="41" spans="1:15" s="4" customFormat="1" ht="46.8" customHeight="1" x14ac:dyDescent="0.3">
      <c r="A41" s="335"/>
      <c r="B41" s="336"/>
      <c r="C41" s="336"/>
      <c r="D41" s="336"/>
      <c r="E41" s="336"/>
      <c r="F41" s="337"/>
      <c r="H41" s="8"/>
      <c r="I41" s="1"/>
      <c r="J41" s="1"/>
      <c r="K41" s="1"/>
      <c r="L41" s="1"/>
      <c r="M41" s="1"/>
      <c r="N41" s="1"/>
      <c r="O41" s="1"/>
    </row>
    <row r="42" spans="1:15" s="4" customFormat="1" x14ac:dyDescent="0.3">
      <c r="A42" s="79"/>
      <c r="B42" s="79"/>
      <c r="C42" s="79"/>
      <c r="D42" s="79"/>
      <c r="E42" s="79"/>
      <c r="F42" s="79"/>
      <c r="H42" s="1"/>
      <c r="I42" s="1"/>
      <c r="J42" s="1"/>
      <c r="K42" s="1"/>
      <c r="L42" s="1"/>
      <c r="M42" s="1"/>
      <c r="N42" s="1"/>
      <c r="O42" s="1"/>
    </row>
    <row r="43" spans="1:15" s="127" customFormat="1" ht="31.2" customHeight="1" x14ac:dyDescent="0.3">
      <c r="A43" s="344" t="s">
        <v>94</v>
      </c>
      <c r="B43" s="345"/>
      <c r="C43" s="212" t="s">
        <v>95</v>
      </c>
      <c r="D43" s="212" t="s">
        <v>29</v>
      </c>
      <c r="E43" s="212" t="s">
        <v>96</v>
      </c>
      <c r="F43" s="212" t="s">
        <v>97</v>
      </c>
      <c r="G43" s="126"/>
      <c r="J43" s="1"/>
    </row>
    <row r="44" spans="1:15" ht="15.6" customHeight="1" x14ac:dyDescent="0.3">
      <c r="A44" s="213">
        <v>1</v>
      </c>
      <c r="B44" s="128" t="str">
        <f>IFERROR(TEXT(Eval1,),"")</f>
        <v/>
      </c>
      <c r="C44" s="129" t="str">
        <f>IF(B44="","",IFERROR(Eval1Tipo,0))</f>
        <v/>
      </c>
      <c r="D44" s="129" t="str">
        <f>IFERROR(TEXT(Eval1Mod,),"")</f>
        <v/>
      </c>
      <c r="E44" s="136"/>
      <c r="F44" s="137"/>
      <c r="G44" s="59"/>
      <c r="H44" s="59"/>
      <c r="I44" s="59"/>
      <c r="K44" s="59"/>
      <c r="L44" s="59"/>
      <c r="M44" s="59"/>
    </row>
    <row r="45" spans="1:15" ht="15.6" customHeight="1" x14ac:dyDescent="0.3">
      <c r="A45" s="213">
        <v>2</v>
      </c>
      <c r="B45" s="128" t="str">
        <f>IFERROR(TEXT(Eval2,),"")</f>
        <v/>
      </c>
      <c r="C45" s="129" t="str">
        <f>IF(B45="","",IFERROR(Eval2Tipo,0))</f>
        <v/>
      </c>
      <c r="D45" s="129" t="str">
        <f>IFERROR(TEXT(Eval2Mod,),"")</f>
        <v/>
      </c>
      <c r="E45" s="136"/>
      <c r="F45" s="137"/>
      <c r="G45" s="59"/>
      <c r="H45" s="59"/>
      <c r="I45" s="59"/>
      <c r="K45" s="59"/>
      <c r="L45" s="59"/>
      <c r="M45" s="59"/>
    </row>
    <row r="46" spans="1:15" ht="15.6" customHeight="1" x14ac:dyDescent="0.3">
      <c r="A46" s="213">
        <v>3</v>
      </c>
      <c r="B46" s="128" t="str">
        <f>IFERROR(TEXT(Eval3,),"")</f>
        <v/>
      </c>
      <c r="C46" s="129" t="str">
        <f>IF(B46="","",IFERROR(Eval3Tipo,0))</f>
        <v/>
      </c>
      <c r="D46" s="129" t="str">
        <f>IFERROR(TEXT(Eval3Mod,),"")</f>
        <v/>
      </c>
      <c r="E46" s="136"/>
      <c r="F46" s="137"/>
      <c r="G46" s="59"/>
      <c r="H46" s="59"/>
      <c r="I46" s="59"/>
      <c r="K46" s="59"/>
      <c r="L46" s="59"/>
      <c r="M46" s="59"/>
    </row>
    <row r="47" spans="1:15" ht="15.6" customHeight="1" x14ac:dyDescent="0.3">
      <c r="A47" s="213">
        <v>4</v>
      </c>
      <c r="B47" s="128" t="str">
        <f>IFERROR(TEXT(Eval4,),"")</f>
        <v/>
      </c>
      <c r="C47" s="129" t="str">
        <f>IF(B47="","",IFERROR(Eval4Tipo,0))</f>
        <v/>
      </c>
      <c r="D47" s="129" t="str">
        <f>IFERROR(TEXT(Eval4Mod,),"")</f>
        <v/>
      </c>
      <c r="E47" s="136"/>
      <c r="F47" s="137"/>
      <c r="G47" s="59"/>
      <c r="H47" s="59"/>
      <c r="I47" s="59"/>
      <c r="K47" s="59"/>
      <c r="L47" s="59"/>
      <c r="M47" s="59"/>
    </row>
    <row r="48" spans="1:15" ht="15.6" customHeight="1" x14ac:dyDescent="0.3">
      <c r="A48" s="214">
        <v>5</v>
      </c>
      <c r="B48" s="133" t="str">
        <f>IFERROR(TEXT(Eval5,),"")</f>
        <v/>
      </c>
      <c r="C48" s="129" t="str">
        <f>IF(B48="","",IFERROR(Eval5Tipo,0))</f>
        <v/>
      </c>
      <c r="D48" s="129" t="str">
        <f>IFERROR(TEXT(Eval5Mod,),"")</f>
        <v/>
      </c>
      <c r="E48" s="136"/>
      <c r="F48" s="137"/>
      <c r="G48" s="59"/>
      <c r="H48" s="59"/>
      <c r="I48" s="59"/>
      <c r="K48" s="59"/>
      <c r="L48" s="59"/>
      <c r="M48" s="59"/>
    </row>
    <row r="49" spans="1:15" ht="28.5" customHeight="1" x14ac:dyDescent="0.3">
      <c r="A49" s="130"/>
      <c r="B49" s="134"/>
      <c r="C49" s="134"/>
      <c r="D49" s="134"/>
      <c r="E49" s="134"/>
      <c r="F49" s="135">
        <f>SUM(F44:F48)</f>
        <v>0</v>
      </c>
      <c r="G49" s="1"/>
    </row>
    <row r="50" spans="1:15" s="4" customFormat="1" ht="25.05" customHeight="1" x14ac:dyDescent="0.3">
      <c r="A50" s="1"/>
      <c r="H50" s="1"/>
      <c r="I50" s="1"/>
      <c r="J50" s="1"/>
      <c r="K50" s="1"/>
      <c r="L50" s="1"/>
      <c r="M50" s="1"/>
      <c r="N50" s="1"/>
      <c r="O50" s="1"/>
    </row>
    <row r="51" spans="1:15" s="4" customFormat="1" ht="46.8" customHeight="1" x14ac:dyDescent="0.3">
      <c r="A51" s="338" t="s">
        <v>732</v>
      </c>
      <c r="B51" s="339"/>
      <c r="C51" s="339"/>
      <c r="D51" s="339"/>
      <c r="E51" s="339"/>
      <c r="F51" s="340"/>
      <c r="H51" s="1"/>
      <c r="I51" s="1"/>
      <c r="J51" s="1"/>
      <c r="K51" s="1"/>
      <c r="L51" s="1"/>
      <c r="M51" s="1"/>
      <c r="N51" s="1"/>
      <c r="O51" s="1"/>
    </row>
    <row r="52" spans="1:15" s="4" customFormat="1" ht="124.8" customHeight="1" x14ac:dyDescent="0.3">
      <c r="A52" s="335"/>
      <c r="B52" s="336"/>
      <c r="C52" s="336"/>
      <c r="D52" s="336"/>
      <c r="E52" s="336"/>
      <c r="F52" s="337"/>
      <c r="H52" s="1"/>
      <c r="I52" s="1"/>
      <c r="J52" s="1"/>
      <c r="K52" s="1"/>
      <c r="L52" s="1"/>
      <c r="M52" s="1"/>
      <c r="N52" s="1"/>
      <c r="O52" s="1"/>
    </row>
  </sheetData>
  <sheetProtection algorithmName="SHA-512" hashValue="XuC1KOASErShfke2V4+C/94cjUTFhx/T9rDxwLCrLCZvIanbunGh6YbzStXkZgmcvwbOdklvYzU7Oheep6lpkw==" saltValue="u1t2Yr+5YwvucSWTJV/jXA==" spinCount="100000" sheet="1" objects="1" scenarios="1" selectLockedCells="1"/>
  <mergeCells count="19">
    <mergeCell ref="A7:F7"/>
    <mergeCell ref="A10:F10"/>
    <mergeCell ref="A43:B43"/>
    <mergeCell ref="A32:B32"/>
    <mergeCell ref="C32:F32"/>
    <mergeCell ref="A15:F15"/>
    <mergeCell ref="A16:F16"/>
    <mergeCell ref="A18:F18"/>
    <mergeCell ref="A20:B20"/>
    <mergeCell ref="A12:F12"/>
    <mergeCell ref="A13:F13"/>
    <mergeCell ref="A52:F52"/>
    <mergeCell ref="A34:F34"/>
    <mergeCell ref="A35:F35"/>
    <mergeCell ref="A37:F37"/>
    <mergeCell ref="A38:F38"/>
    <mergeCell ref="A40:F40"/>
    <mergeCell ref="A41:F41"/>
    <mergeCell ref="A51:F51"/>
  </mergeCells>
  <conditionalFormatting sqref="F49">
    <cfRule type="expression" dxfId="11" priority="1">
      <formula>$F$49&lt;&gt;1</formula>
    </cfRule>
  </conditionalFormatting>
  <dataValidations count="3">
    <dataValidation type="decimal" allowBlank="1" showInputMessage="1" showErrorMessage="1" sqref="F45:F49" xr:uid="{0BE56BA7-B606-46D5-9780-2E9327D12E55}">
      <formula1>0</formula1>
      <formula2>100</formula2>
    </dataValidation>
    <dataValidation type="decimal" allowBlank="1" showInputMessage="1" showErrorMessage="1" sqref="E44:E48" xr:uid="{5BDF0B3A-AA08-4217-8302-2EA1556325F1}">
      <formula1>0</formula1>
      <formula2>10</formula2>
    </dataValidation>
    <dataValidation type="decimal" allowBlank="1" showInputMessage="1" showErrorMessage="1" sqref="F44" xr:uid="{5FDE395E-E72B-4B47-A646-B7F56328AB73}">
      <formula1>0</formula1>
      <formula2>1</formula2>
    </dataValidation>
  </dataValidations>
  <pageMargins left="0.59055118110236227" right="0.59055118110236227" top="0.59055118110236227" bottom="0.59055118110236227" header="0.31496062992125984" footer="0.31496062992125984"/>
  <pageSetup paperSize="9" scale="80" fitToHeight="0" orientation="portrait" horizontalDpi="1200" verticalDpi="1200" r:id="rId1"/>
  <headerFooter>
    <oddFooter>&amp;L&amp;A&amp;C&amp;P de &amp;N&amp;R&amp;D&amp;T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A22E-E31B-471B-AC1D-93428520354F}">
  <sheetPr codeName="Hoja6">
    <tabColor theme="0" tint="-0.499984740745262"/>
    <pageSetUpPr fitToPage="1"/>
  </sheetPr>
  <dimension ref="A5:X112"/>
  <sheetViews>
    <sheetView showGridLines="0" workbookViewId="0">
      <selection activeCell="F11" sqref="F11"/>
    </sheetView>
  </sheetViews>
  <sheetFormatPr baseColWidth="10" defaultRowHeight="15.6" x14ac:dyDescent="0.3"/>
  <cols>
    <col min="1" max="1" width="3.109375" style="1" bestFit="1" customWidth="1"/>
    <col min="2" max="2" width="15.33203125" style="1" customWidth="1"/>
    <col min="3" max="3" width="16.21875" style="1" customWidth="1"/>
    <col min="4" max="4" width="15.109375" style="1" customWidth="1"/>
    <col min="5" max="5" width="14" style="1" customWidth="1"/>
    <col min="6" max="7" width="18.88671875" style="1" customWidth="1"/>
    <col min="8" max="8" width="17" style="1" customWidth="1"/>
    <col min="9" max="19" width="11.5546875" style="1"/>
    <col min="20" max="21" width="0" style="45" hidden="1" customWidth="1"/>
    <col min="22" max="23" width="11.5546875" style="45" hidden="1" customWidth="1"/>
    <col min="24" max="24" width="0" style="45" hidden="1" customWidth="1"/>
    <col min="25" max="25" width="0" style="1" hidden="1" customWidth="1"/>
    <col min="26" max="16384" width="11.5546875" style="1"/>
  </cols>
  <sheetData>
    <row r="5" spans="1:22" x14ac:dyDescent="0.3">
      <c r="A5" s="331" t="str">
        <f>"Microcredencial Universitaria en "&amp;TítuloMU</f>
        <v xml:space="preserve">Microcredencial Universitaria en </v>
      </c>
      <c r="B5" s="331"/>
      <c r="C5" s="331"/>
      <c r="D5" s="331"/>
      <c r="E5" s="331"/>
      <c r="F5" s="331"/>
      <c r="G5" s="331"/>
      <c r="H5" s="331"/>
      <c r="I5" s="331"/>
      <c r="J5" s="331"/>
    </row>
    <row r="7" spans="1:22" x14ac:dyDescent="0.3">
      <c r="A7" s="279" t="s">
        <v>110</v>
      </c>
      <c r="B7" s="279"/>
      <c r="C7" s="279"/>
      <c r="D7" s="279"/>
      <c r="E7" s="279"/>
      <c r="F7" s="279"/>
      <c r="G7" s="279"/>
      <c r="H7" s="279"/>
      <c r="I7" s="279"/>
      <c r="J7" s="279"/>
    </row>
    <row r="8" spans="1:22" x14ac:dyDescent="0.3">
      <c r="A8" s="4"/>
      <c r="B8" s="138"/>
      <c r="C8" s="138"/>
      <c r="D8" s="138"/>
      <c r="E8" s="139"/>
      <c r="F8" s="139"/>
      <c r="G8" s="139"/>
      <c r="H8" s="138"/>
      <c r="I8" s="138"/>
    </row>
    <row r="9" spans="1:22" ht="15.6" customHeight="1" x14ac:dyDescent="0.3">
      <c r="A9" s="348" t="s">
        <v>104</v>
      </c>
      <c r="B9" s="140" t="s">
        <v>105</v>
      </c>
      <c r="C9" s="140" t="s">
        <v>106</v>
      </c>
      <c r="D9" s="140" t="s">
        <v>107</v>
      </c>
      <c r="E9" s="125" t="s">
        <v>738</v>
      </c>
      <c r="F9" s="348" t="s">
        <v>116</v>
      </c>
      <c r="G9" s="348" t="s">
        <v>102</v>
      </c>
      <c r="H9" s="348" t="s">
        <v>112</v>
      </c>
      <c r="I9" s="351" t="s">
        <v>77</v>
      </c>
      <c r="J9" s="348" t="s">
        <v>30</v>
      </c>
    </row>
    <row r="10" spans="1:22" ht="27.6" x14ac:dyDescent="0.3">
      <c r="A10" s="349"/>
      <c r="B10" s="350" t="s">
        <v>108</v>
      </c>
      <c r="C10" s="350"/>
      <c r="D10" s="350"/>
      <c r="E10" s="141" t="s">
        <v>109</v>
      </c>
      <c r="F10" s="349"/>
      <c r="G10" s="349"/>
      <c r="H10" s="349"/>
      <c r="I10" s="352"/>
      <c r="J10" s="349"/>
    </row>
    <row r="11" spans="1:22" x14ac:dyDescent="0.3">
      <c r="A11" s="142">
        <v>1</v>
      </c>
      <c r="B11" s="15"/>
      <c r="C11" s="15"/>
      <c r="D11" s="15"/>
      <c r="E11" s="15"/>
      <c r="F11" s="15"/>
      <c r="G11" s="41"/>
      <c r="H11" s="16"/>
      <c r="I11" s="129" t="str">
        <f>IFERROR(VLOOKUP(H11,'Memoria académica'!$B$21:$D$30,3,),"")</f>
        <v/>
      </c>
      <c r="J11" s="17"/>
      <c r="V11" s="45">
        <f>IF(AND(COUNTBLANK(B11:J11)&lt;9,COUNTBLANK(B11:J11)&gt;0),1,0)</f>
        <v>0</v>
      </c>
    </row>
    <row r="12" spans="1:22" x14ac:dyDescent="0.3">
      <c r="A12" s="142">
        <v>2</v>
      </c>
      <c r="B12" s="15"/>
      <c r="C12" s="15"/>
      <c r="D12" s="15"/>
      <c r="E12" s="15"/>
      <c r="F12" s="15"/>
      <c r="G12" s="41"/>
      <c r="H12" s="16"/>
      <c r="I12" s="129" t="str">
        <f>IFERROR(VLOOKUP(H12,'Memoria académica'!$B$21:$D$30,3,),"")</f>
        <v/>
      </c>
      <c r="J12" s="17"/>
      <c r="V12" s="45">
        <f t="shared" ref="V12:V30" si="0">IF(AND(COUNTBLANK(B12:J12)&lt;9,COUNTBLANK(B12:J12)&gt;0),1,0)</f>
        <v>0</v>
      </c>
    </row>
    <row r="13" spans="1:22" x14ac:dyDescent="0.3">
      <c r="A13" s="142">
        <v>3</v>
      </c>
      <c r="B13" s="15"/>
      <c r="C13" s="15"/>
      <c r="D13" s="15"/>
      <c r="E13" s="15"/>
      <c r="F13" s="15"/>
      <c r="G13" s="41"/>
      <c r="H13" s="16"/>
      <c r="I13" s="129" t="str">
        <f>IFERROR(VLOOKUP(H13,'Memoria académica'!$B$21:$D$30,3,),"")</f>
        <v/>
      </c>
      <c r="J13" s="17"/>
      <c r="V13" s="45">
        <f t="shared" si="0"/>
        <v>0</v>
      </c>
    </row>
    <row r="14" spans="1:22" x14ac:dyDescent="0.3">
      <c r="A14" s="142">
        <v>4</v>
      </c>
      <c r="B14" s="15"/>
      <c r="C14" s="15"/>
      <c r="D14" s="15"/>
      <c r="E14" s="15"/>
      <c r="F14" s="15"/>
      <c r="G14" s="41"/>
      <c r="H14" s="16"/>
      <c r="I14" s="129" t="str">
        <f>IFERROR(VLOOKUP(H14,'Memoria académica'!$B$21:$D$30,3,),"")</f>
        <v/>
      </c>
      <c r="J14" s="17"/>
      <c r="V14" s="45">
        <f t="shared" si="0"/>
        <v>0</v>
      </c>
    </row>
    <row r="15" spans="1:22" x14ac:dyDescent="0.3">
      <c r="A15" s="142">
        <v>5</v>
      </c>
      <c r="B15" s="15"/>
      <c r="C15" s="15"/>
      <c r="D15" s="15"/>
      <c r="E15" s="15"/>
      <c r="F15" s="15"/>
      <c r="G15" s="41"/>
      <c r="H15" s="16"/>
      <c r="I15" s="129" t="str">
        <f>IFERROR(VLOOKUP(H15,'Memoria académica'!$B$21:$D$30,3,),"")</f>
        <v/>
      </c>
      <c r="J15" s="17"/>
      <c r="V15" s="45">
        <f t="shared" si="0"/>
        <v>0</v>
      </c>
    </row>
    <row r="16" spans="1:22" x14ac:dyDescent="0.3">
      <c r="A16" s="142">
        <v>6</v>
      </c>
      <c r="B16" s="15"/>
      <c r="C16" s="15"/>
      <c r="D16" s="15"/>
      <c r="E16" s="15"/>
      <c r="F16" s="15"/>
      <c r="G16" s="41"/>
      <c r="H16" s="16"/>
      <c r="I16" s="129" t="str">
        <f>IFERROR(VLOOKUP(H16,'Memoria académica'!$B$21:$D$30,3,),"")</f>
        <v/>
      </c>
      <c r="J16" s="17"/>
      <c r="V16" s="45">
        <f t="shared" si="0"/>
        <v>0</v>
      </c>
    </row>
    <row r="17" spans="1:22" x14ac:dyDescent="0.3">
      <c r="A17" s="142">
        <v>7</v>
      </c>
      <c r="B17" s="15"/>
      <c r="C17" s="15"/>
      <c r="D17" s="15"/>
      <c r="E17" s="15"/>
      <c r="F17" s="15"/>
      <c r="G17" s="41"/>
      <c r="H17" s="16"/>
      <c r="I17" s="129" t="str">
        <f>IFERROR(VLOOKUP(H17,'Memoria académica'!$B$21:$D$30,3,),"")</f>
        <v/>
      </c>
      <c r="J17" s="17"/>
      <c r="V17" s="45">
        <f t="shared" si="0"/>
        <v>0</v>
      </c>
    </row>
    <row r="18" spans="1:22" x14ac:dyDescent="0.3">
      <c r="A18" s="142">
        <v>8</v>
      </c>
      <c r="B18" s="15"/>
      <c r="C18" s="15"/>
      <c r="D18" s="15"/>
      <c r="E18" s="15"/>
      <c r="F18" s="15"/>
      <c r="G18" s="41"/>
      <c r="H18" s="16"/>
      <c r="I18" s="129" t="str">
        <f>IFERROR(VLOOKUP(H18,'Memoria académica'!$B$21:$D$30,3,),"")</f>
        <v/>
      </c>
      <c r="J18" s="17"/>
      <c r="V18" s="45">
        <f t="shared" si="0"/>
        <v>0</v>
      </c>
    </row>
    <row r="19" spans="1:22" x14ac:dyDescent="0.3">
      <c r="A19" s="142">
        <v>9</v>
      </c>
      <c r="B19" s="15"/>
      <c r="C19" s="15"/>
      <c r="D19" s="15"/>
      <c r="E19" s="15"/>
      <c r="F19" s="15"/>
      <c r="G19" s="41"/>
      <c r="H19" s="16"/>
      <c r="I19" s="129" t="str">
        <f>IFERROR(VLOOKUP(H19,'Memoria académica'!$B$21:$D$30,3,),"")</f>
        <v/>
      </c>
      <c r="J19" s="17"/>
      <c r="V19" s="45">
        <f t="shared" si="0"/>
        <v>0</v>
      </c>
    </row>
    <row r="20" spans="1:22" x14ac:dyDescent="0.3">
      <c r="A20" s="142">
        <v>10</v>
      </c>
      <c r="B20" s="15"/>
      <c r="C20" s="15"/>
      <c r="D20" s="15"/>
      <c r="E20" s="15"/>
      <c r="F20" s="15"/>
      <c r="G20" s="41"/>
      <c r="H20" s="16"/>
      <c r="I20" s="129" t="str">
        <f>IFERROR(VLOOKUP(H20,'Memoria académica'!$B$21:$D$30,3,),"")</f>
        <v/>
      </c>
      <c r="J20" s="17"/>
      <c r="V20" s="45">
        <f t="shared" si="0"/>
        <v>0</v>
      </c>
    </row>
    <row r="21" spans="1:22" x14ac:dyDescent="0.3">
      <c r="A21" s="142">
        <v>11</v>
      </c>
      <c r="B21" s="15"/>
      <c r="C21" s="15"/>
      <c r="D21" s="15"/>
      <c r="E21" s="15"/>
      <c r="F21" s="15"/>
      <c r="G21" s="41"/>
      <c r="H21" s="16"/>
      <c r="I21" s="129" t="str">
        <f>IFERROR(VLOOKUP(H21,'Memoria académica'!$B$21:$D$30,3,),"")</f>
        <v/>
      </c>
      <c r="J21" s="17"/>
      <c r="V21" s="45">
        <f t="shared" si="0"/>
        <v>0</v>
      </c>
    </row>
    <row r="22" spans="1:22" x14ac:dyDescent="0.3">
      <c r="A22" s="142">
        <v>12</v>
      </c>
      <c r="B22" s="15"/>
      <c r="C22" s="15"/>
      <c r="D22" s="15"/>
      <c r="E22" s="15"/>
      <c r="F22" s="15"/>
      <c r="G22" s="41"/>
      <c r="H22" s="16"/>
      <c r="I22" s="129" t="str">
        <f>IFERROR(VLOOKUP(H22,'Memoria académica'!$B$21:$D$30,3,),"")</f>
        <v/>
      </c>
      <c r="J22" s="17"/>
      <c r="V22" s="45">
        <f t="shared" si="0"/>
        <v>0</v>
      </c>
    </row>
    <row r="23" spans="1:22" x14ac:dyDescent="0.3">
      <c r="A23" s="142">
        <v>13</v>
      </c>
      <c r="B23" s="15"/>
      <c r="C23" s="15"/>
      <c r="D23" s="15"/>
      <c r="E23" s="15"/>
      <c r="F23" s="15"/>
      <c r="G23" s="41"/>
      <c r="H23" s="16"/>
      <c r="I23" s="129" t="str">
        <f>IFERROR(VLOOKUP(H23,'Memoria académica'!$B$21:$D$30,3,),"")</f>
        <v/>
      </c>
      <c r="J23" s="17"/>
      <c r="V23" s="45">
        <f t="shared" si="0"/>
        <v>0</v>
      </c>
    </row>
    <row r="24" spans="1:22" x14ac:dyDescent="0.3">
      <c r="A24" s="142">
        <v>14</v>
      </c>
      <c r="B24" s="15"/>
      <c r="C24" s="15"/>
      <c r="D24" s="15"/>
      <c r="E24" s="15"/>
      <c r="F24" s="15"/>
      <c r="G24" s="41"/>
      <c r="H24" s="16"/>
      <c r="I24" s="129" t="str">
        <f>IFERROR(VLOOKUP(H24,'Memoria académica'!$B$21:$D$30,3,),"")</f>
        <v/>
      </c>
      <c r="J24" s="17"/>
      <c r="V24" s="45">
        <f t="shared" si="0"/>
        <v>0</v>
      </c>
    </row>
    <row r="25" spans="1:22" x14ac:dyDescent="0.3">
      <c r="A25" s="142">
        <v>15</v>
      </c>
      <c r="B25" s="15"/>
      <c r="C25" s="15"/>
      <c r="D25" s="15"/>
      <c r="E25" s="15"/>
      <c r="F25" s="15"/>
      <c r="G25" s="41"/>
      <c r="H25" s="16"/>
      <c r="I25" s="129" t="str">
        <f>IFERROR(VLOOKUP(H25,'Memoria académica'!$B$21:$D$30,3,),"")</f>
        <v/>
      </c>
      <c r="J25" s="17"/>
      <c r="V25" s="45">
        <f t="shared" si="0"/>
        <v>0</v>
      </c>
    </row>
    <row r="26" spans="1:22" x14ac:dyDescent="0.3">
      <c r="A26" s="142">
        <v>16</v>
      </c>
      <c r="B26" s="15"/>
      <c r="C26" s="15"/>
      <c r="D26" s="15"/>
      <c r="E26" s="15"/>
      <c r="F26" s="15"/>
      <c r="G26" s="41"/>
      <c r="H26" s="16"/>
      <c r="I26" s="129" t="str">
        <f>IFERROR(VLOOKUP(H26,'Memoria académica'!$B$21:$D$30,3,),"")</f>
        <v/>
      </c>
      <c r="J26" s="17"/>
      <c r="V26" s="45">
        <f t="shared" si="0"/>
        <v>0</v>
      </c>
    </row>
    <row r="27" spans="1:22" x14ac:dyDescent="0.3">
      <c r="A27" s="142">
        <v>17</v>
      </c>
      <c r="B27" s="15"/>
      <c r="C27" s="15"/>
      <c r="D27" s="15"/>
      <c r="E27" s="15"/>
      <c r="F27" s="15"/>
      <c r="G27" s="41"/>
      <c r="H27" s="16"/>
      <c r="I27" s="129" t="str">
        <f>IFERROR(VLOOKUP(H27,'Memoria académica'!$B$21:$D$30,3,),"")</f>
        <v/>
      </c>
      <c r="J27" s="17"/>
      <c r="V27" s="45">
        <f t="shared" si="0"/>
        <v>0</v>
      </c>
    </row>
    <row r="28" spans="1:22" x14ac:dyDescent="0.3">
      <c r="A28" s="142">
        <v>18</v>
      </c>
      <c r="B28" s="15"/>
      <c r="C28" s="15"/>
      <c r="D28" s="15"/>
      <c r="E28" s="15"/>
      <c r="F28" s="15"/>
      <c r="G28" s="41"/>
      <c r="H28" s="16"/>
      <c r="I28" s="129" t="str">
        <f>IFERROR(VLOOKUP(H28,'Memoria académica'!$B$21:$D$30,3,),"")</f>
        <v/>
      </c>
      <c r="J28" s="17"/>
      <c r="V28" s="45">
        <f t="shared" si="0"/>
        <v>0</v>
      </c>
    </row>
    <row r="29" spans="1:22" x14ac:dyDescent="0.3">
      <c r="A29" s="142">
        <v>19</v>
      </c>
      <c r="B29" s="15"/>
      <c r="C29" s="15"/>
      <c r="D29" s="15"/>
      <c r="E29" s="15"/>
      <c r="F29" s="15"/>
      <c r="G29" s="41"/>
      <c r="H29" s="16"/>
      <c r="I29" s="129" t="str">
        <f>IFERROR(VLOOKUP(H29,'Memoria académica'!$B$21:$D$30,3,),"")</f>
        <v/>
      </c>
      <c r="J29" s="17"/>
      <c r="V29" s="45">
        <f t="shared" si="0"/>
        <v>0</v>
      </c>
    </row>
    <row r="30" spans="1:22" x14ac:dyDescent="0.3">
      <c r="A30" s="142">
        <v>20</v>
      </c>
      <c r="B30" s="15"/>
      <c r="C30" s="15"/>
      <c r="D30" s="15"/>
      <c r="E30" s="15"/>
      <c r="F30" s="15"/>
      <c r="G30" s="41"/>
      <c r="H30" s="16"/>
      <c r="I30" s="129" t="str">
        <f>IFERROR(VLOOKUP(H30,'Memoria académica'!$B$21:$D$30,3,),"")</f>
        <v/>
      </c>
      <c r="J30" s="17"/>
      <c r="V30" s="45">
        <f t="shared" si="0"/>
        <v>0</v>
      </c>
    </row>
    <row r="31" spans="1:22" x14ac:dyDescent="0.3">
      <c r="H31" s="347" t="s">
        <v>113</v>
      </c>
      <c r="I31" s="347"/>
      <c r="J31" s="211">
        <f>SUM(J11:J30)</f>
        <v>0</v>
      </c>
    </row>
    <row r="33" spans="1:22" x14ac:dyDescent="0.3">
      <c r="A33" s="279" t="s">
        <v>117</v>
      </c>
      <c r="B33" s="279"/>
      <c r="C33" s="279"/>
      <c r="D33" s="279"/>
      <c r="E33" s="279"/>
      <c r="F33" s="279"/>
      <c r="G33" s="279"/>
      <c r="H33" s="279"/>
      <c r="I33" s="279"/>
      <c r="J33" s="279"/>
    </row>
    <row r="34" spans="1:22" x14ac:dyDescent="0.3">
      <c r="A34" s="4"/>
      <c r="B34" s="138"/>
      <c r="C34" s="138"/>
      <c r="D34" s="138"/>
      <c r="E34" s="139"/>
      <c r="F34" s="139"/>
      <c r="G34" s="139"/>
      <c r="H34" s="138"/>
      <c r="I34" s="138"/>
    </row>
    <row r="35" spans="1:22" ht="15.6" customHeight="1" x14ac:dyDescent="0.3">
      <c r="A35" s="348" t="s">
        <v>104</v>
      </c>
      <c r="B35" s="140" t="s">
        <v>105</v>
      </c>
      <c r="C35" s="140" t="s">
        <v>106</v>
      </c>
      <c r="D35" s="140" t="s">
        <v>107</v>
      </c>
      <c r="E35" s="125" t="s">
        <v>738</v>
      </c>
      <c r="F35" s="348" t="s">
        <v>114</v>
      </c>
      <c r="G35" s="348" t="s">
        <v>115</v>
      </c>
      <c r="H35" s="348" t="s">
        <v>112</v>
      </c>
      <c r="I35" s="351" t="s">
        <v>77</v>
      </c>
      <c r="J35" s="348" t="s">
        <v>30</v>
      </c>
    </row>
    <row r="36" spans="1:22" ht="27.6" x14ac:dyDescent="0.3">
      <c r="A36" s="349"/>
      <c r="B36" s="350" t="s">
        <v>108</v>
      </c>
      <c r="C36" s="350"/>
      <c r="D36" s="350"/>
      <c r="E36" s="141" t="s">
        <v>109</v>
      </c>
      <c r="F36" s="349"/>
      <c r="G36" s="349"/>
      <c r="H36" s="349"/>
      <c r="I36" s="352"/>
      <c r="J36" s="349"/>
    </row>
    <row r="37" spans="1:22" x14ac:dyDescent="0.3">
      <c r="A37" s="142">
        <v>1</v>
      </c>
      <c r="B37" s="18"/>
      <c r="C37" s="18"/>
      <c r="D37" s="18"/>
      <c r="E37" s="15"/>
      <c r="F37" s="18"/>
      <c r="G37" s="18"/>
      <c r="H37" s="19"/>
      <c r="I37" s="129" t="str">
        <f>IFERROR(VLOOKUP(H37,'Memoria académica'!$B$21:$D$30,3,),"")</f>
        <v/>
      </c>
      <c r="J37" s="17"/>
      <c r="V37" s="45">
        <f t="shared" ref="V37:V56" si="1">IF(AND(COUNTBLANK(B37:J37)&lt;9,COUNTBLANK(B37:J37)&gt;0),1,0)</f>
        <v>0</v>
      </c>
    </row>
    <row r="38" spans="1:22" x14ac:dyDescent="0.3">
      <c r="A38" s="142">
        <v>2</v>
      </c>
      <c r="B38" s="18"/>
      <c r="C38" s="18"/>
      <c r="D38" s="18"/>
      <c r="E38" s="18"/>
      <c r="F38" s="18"/>
      <c r="G38" s="18"/>
      <c r="H38" s="19"/>
      <c r="I38" s="129" t="str">
        <f>IFERROR(VLOOKUP(H38,'Memoria académica'!$B$21:$D$30,3,),"")</f>
        <v/>
      </c>
      <c r="J38" s="17"/>
      <c r="V38" s="45">
        <f t="shared" si="1"/>
        <v>0</v>
      </c>
    </row>
    <row r="39" spans="1:22" x14ac:dyDescent="0.3">
      <c r="A39" s="142">
        <v>3</v>
      </c>
      <c r="B39" s="18"/>
      <c r="C39" s="18"/>
      <c r="D39" s="18"/>
      <c r="E39" s="18"/>
      <c r="F39" s="18"/>
      <c r="G39" s="18"/>
      <c r="H39" s="19"/>
      <c r="I39" s="129" t="str">
        <f>IFERROR(VLOOKUP(H39,'Memoria académica'!$B$21:$D$30,3,),"")</f>
        <v/>
      </c>
      <c r="J39" s="17"/>
      <c r="V39" s="45">
        <f t="shared" si="1"/>
        <v>0</v>
      </c>
    </row>
    <row r="40" spans="1:22" x14ac:dyDescent="0.3">
      <c r="A40" s="142">
        <v>4</v>
      </c>
      <c r="B40" s="18"/>
      <c r="C40" s="18"/>
      <c r="D40" s="18"/>
      <c r="E40" s="18"/>
      <c r="F40" s="18"/>
      <c r="G40" s="18"/>
      <c r="H40" s="19"/>
      <c r="I40" s="129" t="str">
        <f>IFERROR(VLOOKUP(H40,'Memoria académica'!$B$21:$D$30,3,),"")</f>
        <v/>
      </c>
      <c r="J40" s="17"/>
      <c r="V40" s="45">
        <f t="shared" si="1"/>
        <v>0</v>
      </c>
    </row>
    <row r="41" spans="1:22" x14ac:dyDescent="0.3">
      <c r="A41" s="142">
        <v>5</v>
      </c>
      <c r="B41" s="18"/>
      <c r="C41" s="18"/>
      <c r="D41" s="18"/>
      <c r="E41" s="18"/>
      <c r="F41" s="18"/>
      <c r="G41" s="18"/>
      <c r="H41" s="19"/>
      <c r="I41" s="129" t="str">
        <f>IFERROR(VLOOKUP(H41,'Memoria académica'!$B$21:$D$30,3,),"")</f>
        <v/>
      </c>
      <c r="J41" s="17"/>
      <c r="V41" s="45">
        <f t="shared" si="1"/>
        <v>0</v>
      </c>
    </row>
    <row r="42" spans="1:22" x14ac:dyDescent="0.3">
      <c r="A42" s="142">
        <v>6</v>
      </c>
      <c r="B42" s="18"/>
      <c r="C42" s="18"/>
      <c r="D42" s="18"/>
      <c r="E42" s="18"/>
      <c r="F42" s="18"/>
      <c r="G42" s="18"/>
      <c r="H42" s="19"/>
      <c r="I42" s="129" t="str">
        <f>IFERROR(VLOOKUP(H42,'Memoria académica'!$B$21:$D$30,3,),"")</f>
        <v/>
      </c>
      <c r="J42" s="17"/>
      <c r="V42" s="45">
        <f t="shared" si="1"/>
        <v>0</v>
      </c>
    </row>
    <row r="43" spans="1:22" x14ac:dyDescent="0.3">
      <c r="A43" s="142">
        <v>7</v>
      </c>
      <c r="B43" s="18"/>
      <c r="C43" s="18"/>
      <c r="D43" s="18"/>
      <c r="E43" s="18"/>
      <c r="F43" s="18"/>
      <c r="G43" s="18"/>
      <c r="H43" s="19"/>
      <c r="I43" s="129" t="str">
        <f>IFERROR(VLOOKUP(H43,'Memoria académica'!$B$21:$D$30,3,),"")</f>
        <v/>
      </c>
      <c r="J43" s="17"/>
      <c r="V43" s="45">
        <f t="shared" si="1"/>
        <v>0</v>
      </c>
    </row>
    <row r="44" spans="1:22" x14ac:dyDescent="0.3">
      <c r="A44" s="142">
        <v>8</v>
      </c>
      <c r="B44" s="18"/>
      <c r="C44" s="18"/>
      <c r="D44" s="18"/>
      <c r="E44" s="18"/>
      <c r="F44" s="18"/>
      <c r="G44" s="18"/>
      <c r="H44" s="19"/>
      <c r="I44" s="129" t="str">
        <f>IFERROR(VLOOKUP(H44,'Memoria académica'!$B$21:$D$30,3,),"")</f>
        <v/>
      </c>
      <c r="J44" s="17"/>
      <c r="V44" s="45">
        <f t="shared" si="1"/>
        <v>0</v>
      </c>
    </row>
    <row r="45" spans="1:22" x14ac:dyDescent="0.3">
      <c r="A45" s="142">
        <v>9</v>
      </c>
      <c r="B45" s="18"/>
      <c r="C45" s="18"/>
      <c r="D45" s="18"/>
      <c r="E45" s="18"/>
      <c r="F45" s="18"/>
      <c r="G45" s="18"/>
      <c r="H45" s="19"/>
      <c r="I45" s="129" t="str">
        <f>IFERROR(VLOOKUP(H45,'Memoria académica'!$B$21:$D$30,3,),"")</f>
        <v/>
      </c>
      <c r="J45" s="17"/>
      <c r="V45" s="45">
        <f t="shared" si="1"/>
        <v>0</v>
      </c>
    </row>
    <row r="46" spans="1:22" x14ac:dyDescent="0.3">
      <c r="A46" s="142">
        <v>10</v>
      </c>
      <c r="B46" s="18"/>
      <c r="C46" s="18"/>
      <c r="D46" s="18"/>
      <c r="E46" s="18"/>
      <c r="F46" s="18"/>
      <c r="G46" s="18"/>
      <c r="H46" s="19"/>
      <c r="I46" s="129" t="str">
        <f>IFERROR(VLOOKUP(H46,'Memoria académica'!$B$21:$D$30,3,),"")</f>
        <v/>
      </c>
      <c r="J46" s="17"/>
      <c r="V46" s="45">
        <f t="shared" si="1"/>
        <v>0</v>
      </c>
    </row>
    <row r="47" spans="1:22" x14ac:dyDescent="0.3">
      <c r="A47" s="142">
        <v>11</v>
      </c>
      <c r="B47" s="18"/>
      <c r="C47" s="18"/>
      <c r="D47" s="18"/>
      <c r="E47" s="18"/>
      <c r="F47" s="18"/>
      <c r="G47" s="18"/>
      <c r="H47" s="19"/>
      <c r="I47" s="129" t="str">
        <f>IFERROR(VLOOKUP(H47,'Memoria académica'!$B$21:$D$30,3,),"")</f>
        <v/>
      </c>
      <c r="J47" s="17"/>
      <c r="V47" s="45">
        <f t="shared" si="1"/>
        <v>0</v>
      </c>
    </row>
    <row r="48" spans="1:22" x14ac:dyDescent="0.3">
      <c r="A48" s="142">
        <v>12</v>
      </c>
      <c r="B48" s="18"/>
      <c r="C48" s="18"/>
      <c r="D48" s="18"/>
      <c r="E48" s="18"/>
      <c r="F48" s="18"/>
      <c r="G48" s="18"/>
      <c r="H48" s="19"/>
      <c r="I48" s="129" t="str">
        <f>IFERROR(VLOOKUP(H48,'Memoria académica'!$B$21:$D$30,3,),"")</f>
        <v/>
      </c>
      <c r="J48" s="17"/>
      <c r="V48" s="45">
        <f t="shared" si="1"/>
        <v>0</v>
      </c>
    </row>
    <row r="49" spans="1:23" x14ac:dyDescent="0.3">
      <c r="A49" s="142">
        <v>13</v>
      </c>
      <c r="B49" s="18"/>
      <c r="C49" s="18"/>
      <c r="D49" s="18"/>
      <c r="E49" s="18"/>
      <c r="F49" s="18"/>
      <c r="G49" s="18"/>
      <c r="H49" s="19"/>
      <c r="I49" s="129" t="str">
        <f>IFERROR(VLOOKUP(H49,'Memoria académica'!$B$21:$D$30,3,),"")</f>
        <v/>
      </c>
      <c r="J49" s="17"/>
      <c r="V49" s="45">
        <f t="shared" si="1"/>
        <v>0</v>
      </c>
    </row>
    <row r="50" spans="1:23" x14ac:dyDescent="0.3">
      <c r="A50" s="142">
        <v>14</v>
      </c>
      <c r="B50" s="18"/>
      <c r="C50" s="18"/>
      <c r="D50" s="18"/>
      <c r="E50" s="18"/>
      <c r="F50" s="18"/>
      <c r="G50" s="18"/>
      <c r="H50" s="19"/>
      <c r="I50" s="129" t="str">
        <f>IFERROR(VLOOKUP(H50,'Memoria académica'!$B$21:$D$30,3,),"")</f>
        <v/>
      </c>
      <c r="J50" s="17"/>
      <c r="V50" s="45">
        <f t="shared" si="1"/>
        <v>0</v>
      </c>
    </row>
    <row r="51" spans="1:23" x14ac:dyDescent="0.3">
      <c r="A51" s="142">
        <v>15</v>
      </c>
      <c r="B51" s="18"/>
      <c r="C51" s="18"/>
      <c r="D51" s="18"/>
      <c r="E51" s="18"/>
      <c r="F51" s="18"/>
      <c r="G51" s="18"/>
      <c r="H51" s="19"/>
      <c r="I51" s="129" t="str">
        <f>IFERROR(VLOOKUP(H51,'Memoria académica'!$B$21:$D$30,3,),"")</f>
        <v/>
      </c>
      <c r="J51" s="17"/>
      <c r="V51" s="45">
        <f t="shared" si="1"/>
        <v>0</v>
      </c>
    </row>
    <row r="52" spans="1:23" x14ac:dyDescent="0.3">
      <c r="A52" s="142">
        <v>16</v>
      </c>
      <c r="B52" s="18"/>
      <c r="C52" s="18"/>
      <c r="D52" s="18"/>
      <c r="E52" s="18"/>
      <c r="F52" s="18"/>
      <c r="G52" s="18"/>
      <c r="H52" s="19"/>
      <c r="I52" s="129" t="str">
        <f>IFERROR(VLOOKUP(H52,'Memoria académica'!$B$21:$D$30,3,),"")</f>
        <v/>
      </c>
      <c r="J52" s="17"/>
      <c r="V52" s="45">
        <f t="shared" si="1"/>
        <v>0</v>
      </c>
    </row>
    <row r="53" spans="1:23" x14ac:dyDescent="0.3">
      <c r="A53" s="142">
        <v>17</v>
      </c>
      <c r="B53" s="18"/>
      <c r="C53" s="18"/>
      <c r="D53" s="18"/>
      <c r="E53" s="18"/>
      <c r="F53" s="18"/>
      <c r="G53" s="18"/>
      <c r="H53" s="19"/>
      <c r="I53" s="129" t="str">
        <f>IFERROR(VLOOKUP(H53,'Memoria académica'!$B$21:$D$30,3,),"")</f>
        <v/>
      </c>
      <c r="J53" s="17"/>
      <c r="V53" s="45">
        <f t="shared" si="1"/>
        <v>0</v>
      </c>
    </row>
    <row r="54" spans="1:23" x14ac:dyDescent="0.3">
      <c r="A54" s="142">
        <v>18</v>
      </c>
      <c r="B54" s="18"/>
      <c r="C54" s="18"/>
      <c r="D54" s="18"/>
      <c r="E54" s="18"/>
      <c r="F54" s="18"/>
      <c r="G54" s="18"/>
      <c r="H54" s="19"/>
      <c r="I54" s="129" t="str">
        <f>IFERROR(VLOOKUP(H54,'Memoria académica'!$B$21:$D$30,3,),"")</f>
        <v/>
      </c>
      <c r="J54" s="17"/>
      <c r="V54" s="45">
        <f t="shared" si="1"/>
        <v>0</v>
      </c>
    </row>
    <row r="55" spans="1:23" x14ac:dyDescent="0.3">
      <c r="A55" s="142">
        <v>19</v>
      </c>
      <c r="B55" s="18"/>
      <c r="C55" s="18"/>
      <c r="D55" s="18"/>
      <c r="E55" s="18"/>
      <c r="F55" s="18"/>
      <c r="G55" s="18"/>
      <c r="H55" s="19"/>
      <c r="I55" s="129" t="str">
        <f>IFERROR(VLOOKUP(H55,'Memoria académica'!$B$21:$D$30,3,),"")</f>
        <v/>
      </c>
      <c r="J55" s="17"/>
      <c r="V55" s="45">
        <f t="shared" si="1"/>
        <v>0</v>
      </c>
    </row>
    <row r="56" spans="1:23" x14ac:dyDescent="0.3">
      <c r="A56" s="142">
        <v>20</v>
      </c>
      <c r="B56" s="18"/>
      <c r="C56" s="18"/>
      <c r="D56" s="18"/>
      <c r="E56" s="18"/>
      <c r="F56" s="18"/>
      <c r="G56" s="18"/>
      <c r="H56" s="19"/>
      <c r="I56" s="129" t="str">
        <f>IFERROR(VLOOKUP(H56,'Memoria académica'!$B$21:$D$30,3,),"")</f>
        <v/>
      </c>
      <c r="J56" s="17"/>
      <c r="V56" s="45">
        <f t="shared" si="1"/>
        <v>0</v>
      </c>
    </row>
    <row r="57" spans="1:23" x14ac:dyDescent="0.3">
      <c r="H57" s="347" t="s">
        <v>113</v>
      </c>
      <c r="I57" s="347"/>
      <c r="J57" s="211">
        <f>SUM(J37:J56)</f>
        <v>0</v>
      </c>
    </row>
    <row r="58" spans="1:23" x14ac:dyDescent="0.3">
      <c r="V58" s="45">
        <f>SUM(V11:V56)</f>
        <v>0</v>
      </c>
      <c r="W58" s="45" t="s">
        <v>363</v>
      </c>
    </row>
    <row r="60" spans="1:23" x14ac:dyDescent="0.3">
      <c r="A60" s="279" t="s">
        <v>118</v>
      </c>
      <c r="B60" s="279"/>
      <c r="C60" s="279"/>
      <c r="D60" s="279"/>
      <c r="E60" s="279"/>
      <c r="F60" s="279"/>
      <c r="G60" s="279"/>
      <c r="H60" s="279"/>
      <c r="I60" s="279"/>
      <c r="J60" s="279"/>
    </row>
    <row r="61" spans="1:23" x14ac:dyDescent="0.3">
      <c r="A61" s="4"/>
      <c r="B61" s="138"/>
      <c r="C61" s="138"/>
      <c r="D61" s="138"/>
      <c r="E61" s="139"/>
      <c r="F61" s="139"/>
      <c r="G61" s="139"/>
      <c r="H61" s="138"/>
      <c r="I61" s="138"/>
    </row>
    <row r="62" spans="1:23" ht="15.6" customHeight="1" x14ac:dyDescent="0.3">
      <c r="A62" s="348" t="s">
        <v>104</v>
      </c>
      <c r="B62" s="140" t="s">
        <v>105</v>
      </c>
      <c r="C62" s="140" t="s">
        <v>106</v>
      </c>
      <c r="D62" s="140" t="s">
        <v>107</v>
      </c>
      <c r="E62" s="125" t="s">
        <v>738</v>
      </c>
      <c r="F62" s="348" t="s">
        <v>114</v>
      </c>
      <c r="G62" s="348" t="s">
        <v>111</v>
      </c>
      <c r="H62" s="356" t="s">
        <v>119</v>
      </c>
      <c r="I62" s="357"/>
      <c r="J62" s="358"/>
    </row>
    <row r="63" spans="1:23" ht="27.6" x14ac:dyDescent="0.3">
      <c r="A63" s="349"/>
      <c r="B63" s="350" t="s">
        <v>108</v>
      </c>
      <c r="C63" s="350"/>
      <c r="D63" s="350"/>
      <c r="E63" s="141" t="s">
        <v>109</v>
      </c>
      <c r="F63" s="349"/>
      <c r="G63" s="349"/>
      <c r="H63" s="359"/>
      <c r="I63" s="360"/>
      <c r="J63" s="361"/>
    </row>
    <row r="64" spans="1:23" x14ac:dyDescent="0.3">
      <c r="A64" s="142">
        <v>1</v>
      </c>
      <c r="B64" s="18"/>
      <c r="C64" s="18"/>
      <c r="D64" s="18"/>
      <c r="E64" s="18"/>
      <c r="F64" s="18"/>
      <c r="G64" s="18"/>
      <c r="H64" s="353"/>
      <c r="I64" s="354"/>
      <c r="J64" s="355"/>
      <c r="V64" s="45">
        <f t="shared" ref="V64:V73" si="2">IF(AND(COUNTBLANK(B64:J64)&lt;9,COUNTBLANK(B64:J64)&gt;0),1,0)</f>
        <v>0</v>
      </c>
    </row>
    <row r="65" spans="1:23" x14ac:dyDescent="0.3">
      <c r="A65" s="142">
        <v>2</v>
      </c>
      <c r="B65" s="18"/>
      <c r="C65" s="18"/>
      <c r="D65" s="18"/>
      <c r="E65" s="18"/>
      <c r="F65" s="18"/>
      <c r="G65" s="18"/>
      <c r="H65" s="353"/>
      <c r="I65" s="354"/>
      <c r="J65" s="355"/>
      <c r="V65" s="45">
        <f t="shared" si="2"/>
        <v>0</v>
      </c>
    </row>
    <row r="66" spans="1:23" x14ac:dyDescent="0.3">
      <c r="A66" s="142">
        <v>3</v>
      </c>
      <c r="B66" s="18"/>
      <c r="C66" s="18"/>
      <c r="D66" s="18"/>
      <c r="E66" s="18"/>
      <c r="F66" s="18"/>
      <c r="G66" s="18"/>
      <c r="H66" s="353"/>
      <c r="I66" s="354"/>
      <c r="J66" s="355"/>
      <c r="V66" s="45">
        <f t="shared" si="2"/>
        <v>0</v>
      </c>
    </row>
    <row r="67" spans="1:23" x14ac:dyDescent="0.3">
      <c r="A67" s="142">
        <v>4</v>
      </c>
      <c r="B67" s="18"/>
      <c r="C67" s="18"/>
      <c r="D67" s="18"/>
      <c r="E67" s="18"/>
      <c r="F67" s="18"/>
      <c r="G67" s="18"/>
      <c r="H67" s="353"/>
      <c r="I67" s="354"/>
      <c r="J67" s="355"/>
      <c r="V67" s="45">
        <f t="shared" si="2"/>
        <v>0</v>
      </c>
    </row>
    <row r="68" spans="1:23" x14ac:dyDescent="0.3">
      <c r="A68" s="142">
        <v>5</v>
      </c>
      <c r="B68" s="18"/>
      <c r="C68" s="18"/>
      <c r="D68" s="18"/>
      <c r="E68" s="18"/>
      <c r="F68" s="18"/>
      <c r="G68" s="18"/>
      <c r="H68" s="353"/>
      <c r="I68" s="354"/>
      <c r="J68" s="355"/>
      <c r="V68" s="45">
        <f t="shared" si="2"/>
        <v>0</v>
      </c>
    </row>
    <row r="69" spans="1:23" x14ac:dyDescent="0.3">
      <c r="A69" s="142">
        <v>6</v>
      </c>
      <c r="B69" s="18"/>
      <c r="C69" s="18"/>
      <c r="D69" s="18"/>
      <c r="E69" s="18"/>
      <c r="F69" s="18"/>
      <c r="G69" s="18"/>
      <c r="H69" s="353"/>
      <c r="I69" s="354"/>
      <c r="J69" s="355"/>
      <c r="V69" s="45">
        <f t="shared" si="2"/>
        <v>0</v>
      </c>
    </row>
    <row r="70" spans="1:23" x14ac:dyDescent="0.3">
      <c r="A70" s="142">
        <v>7</v>
      </c>
      <c r="B70" s="18"/>
      <c r="C70" s="18"/>
      <c r="D70" s="18"/>
      <c r="E70" s="18"/>
      <c r="F70" s="18"/>
      <c r="G70" s="18"/>
      <c r="H70" s="353"/>
      <c r="I70" s="354"/>
      <c r="J70" s="355"/>
      <c r="V70" s="45">
        <f t="shared" si="2"/>
        <v>0</v>
      </c>
    </row>
    <row r="71" spans="1:23" x14ac:dyDescent="0.3">
      <c r="A71" s="142">
        <v>8</v>
      </c>
      <c r="B71" s="18"/>
      <c r="C71" s="18"/>
      <c r="D71" s="18"/>
      <c r="E71" s="18"/>
      <c r="F71" s="18"/>
      <c r="G71" s="18"/>
      <c r="H71" s="353"/>
      <c r="I71" s="354"/>
      <c r="J71" s="355"/>
      <c r="V71" s="45">
        <f t="shared" si="2"/>
        <v>0</v>
      </c>
    </row>
    <row r="72" spans="1:23" x14ac:dyDescent="0.3">
      <c r="A72" s="142">
        <v>9</v>
      </c>
      <c r="B72" s="18"/>
      <c r="C72" s="18"/>
      <c r="D72" s="18"/>
      <c r="E72" s="18"/>
      <c r="F72" s="18"/>
      <c r="G72" s="18"/>
      <c r="H72" s="353"/>
      <c r="I72" s="354"/>
      <c r="J72" s="355"/>
      <c r="V72" s="45">
        <f t="shared" si="2"/>
        <v>0</v>
      </c>
    </row>
    <row r="73" spans="1:23" x14ac:dyDescent="0.3">
      <c r="A73" s="142">
        <v>10</v>
      </c>
      <c r="B73" s="18"/>
      <c r="C73" s="18"/>
      <c r="D73" s="18"/>
      <c r="E73" s="18"/>
      <c r="F73" s="18"/>
      <c r="G73" s="18"/>
      <c r="H73" s="353"/>
      <c r="I73" s="354"/>
      <c r="J73" s="355"/>
      <c r="V73" s="45">
        <f t="shared" si="2"/>
        <v>0</v>
      </c>
    </row>
    <row r="74" spans="1:23" x14ac:dyDescent="0.3">
      <c r="V74" s="45">
        <f>SUM(V64:V73)</f>
        <v>0</v>
      </c>
      <c r="W74" s="45" t="s">
        <v>364</v>
      </c>
    </row>
    <row r="76" spans="1:23" x14ac:dyDescent="0.3">
      <c r="A76" s="279" t="s">
        <v>120</v>
      </c>
      <c r="B76" s="279"/>
      <c r="C76" s="279"/>
      <c r="D76" s="279"/>
      <c r="E76" s="279"/>
      <c r="F76" s="279"/>
      <c r="G76" s="279"/>
      <c r="H76" s="279"/>
      <c r="I76" s="279"/>
      <c r="J76" s="279"/>
    </row>
    <row r="78" spans="1:23" x14ac:dyDescent="0.3">
      <c r="A78" s="363" t="s">
        <v>122</v>
      </c>
      <c r="B78" s="363"/>
      <c r="C78" s="363"/>
      <c r="D78" s="363"/>
      <c r="E78" s="363"/>
      <c r="F78" s="363"/>
      <c r="G78" s="362" t="s">
        <v>123</v>
      </c>
      <c r="H78" s="362"/>
      <c r="I78" s="143" t="s">
        <v>745</v>
      </c>
      <c r="J78" s="255" t="s">
        <v>744</v>
      </c>
    </row>
    <row r="79" spans="1:23" ht="31.2" customHeight="1" x14ac:dyDescent="0.3">
      <c r="A79" s="364" t="s">
        <v>73</v>
      </c>
      <c r="B79" s="364"/>
      <c r="C79" s="364"/>
      <c r="D79" s="212" t="s">
        <v>29</v>
      </c>
      <c r="E79" s="212" t="s">
        <v>33</v>
      </c>
      <c r="F79" s="212" t="s">
        <v>30</v>
      </c>
      <c r="G79" s="212" t="s">
        <v>121</v>
      </c>
      <c r="H79" s="212" t="s">
        <v>9</v>
      </c>
      <c r="I79" s="212" t="s">
        <v>746</v>
      </c>
      <c r="J79" s="370" t="s">
        <v>125</v>
      </c>
    </row>
    <row r="80" spans="1:23" ht="31.2" customHeight="1" x14ac:dyDescent="0.3">
      <c r="A80" s="214">
        <v>1</v>
      </c>
      <c r="B80" s="365" t="str">
        <f>IFERROR(TEXT(Actividad1,),"")</f>
        <v/>
      </c>
      <c r="C80" s="365"/>
      <c r="D80" s="259" t="str">
        <f>IFERROR(TEXT(ModAct1,),"")</f>
        <v/>
      </c>
      <c r="E80" s="258" t="str">
        <f>IFERROR(TEXT(TipoDAct1,),"")</f>
        <v/>
      </c>
      <c r="F80" s="258" t="str">
        <f>IF(B80="","",IFERROR(HProf1,0))</f>
        <v/>
      </c>
      <c r="G80" s="258" t="str">
        <f t="shared" ref="G80:G89" si="3">IF(B80="","",IFERROR(SUMIFS($J$11:$J$30,$H$11:$H$30,B80),"")+IFERROR(SUMIFS($J$37:$J$56,$H$37:$H$56,B80),""))</f>
        <v/>
      </c>
      <c r="H80" s="258" t="str">
        <f t="shared" ref="H80:H89" si="4">IF(E80="","",IFERROR(F80-G80,""))</f>
        <v/>
      </c>
      <c r="I80" s="258" t="str">
        <f>IF(B80="","",IFERROR(Horas1,0))</f>
        <v/>
      </c>
      <c r="J80" s="371"/>
    </row>
    <row r="81" spans="1:10" ht="31.2" customHeight="1" x14ac:dyDescent="0.3">
      <c r="A81" s="214">
        <v>2</v>
      </c>
      <c r="B81" s="365" t="str">
        <f>IFERROR(TEXT(Actividad2,),"")</f>
        <v/>
      </c>
      <c r="C81" s="365"/>
      <c r="D81" s="259" t="str" cm="1">
        <f t="array" ref="D81">IFERROR(TEXT(ModAct2,),"")</f>
        <v/>
      </c>
      <c r="E81" s="258" t="str" cm="1">
        <f t="array" ref="E81">IFERROR(TEXT(TipoDAct2,),"")</f>
        <v/>
      </c>
      <c r="F81" s="258" t="str" cm="1">
        <f t="array" ref="F81">IF(B81="","",IFERROR(HProf2,0))</f>
        <v/>
      </c>
      <c r="G81" s="258" t="str">
        <f t="shared" si="3"/>
        <v/>
      </c>
      <c r="H81" s="258" t="str">
        <f t="shared" si="4"/>
        <v/>
      </c>
      <c r="I81" s="258" t="str">
        <f>IF(B81="","",IFERROR(Horas2,0))</f>
        <v/>
      </c>
      <c r="J81" s="371"/>
    </row>
    <row r="82" spans="1:10" ht="31.2" customHeight="1" x14ac:dyDescent="0.3">
      <c r="A82" s="214">
        <v>3</v>
      </c>
      <c r="B82" s="365" t="str">
        <f>IFERROR(TEXT(Actividad3,),"")</f>
        <v/>
      </c>
      <c r="C82" s="365"/>
      <c r="D82" s="259" t="str" cm="1">
        <f t="array" ref="D82">IFERROR(TEXT(ModAct3,),"")</f>
        <v/>
      </c>
      <c r="E82" s="258" t="str" cm="1">
        <f t="array" ref="E82">IFERROR(TEXT(TipoDAct3,),"")</f>
        <v/>
      </c>
      <c r="F82" s="258" t="str" cm="1">
        <f t="array" ref="F82">IF(B82="","",IFERROR(HProf3,0))</f>
        <v/>
      </c>
      <c r="G82" s="258" t="str">
        <f t="shared" si="3"/>
        <v/>
      </c>
      <c r="H82" s="258" t="str">
        <f t="shared" si="4"/>
        <v/>
      </c>
      <c r="I82" s="258" t="str">
        <f>IF(B82="","",IFERROR(Horas3,0))</f>
        <v/>
      </c>
      <c r="J82" s="371"/>
    </row>
    <row r="83" spans="1:10" ht="31.2" customHeight="1" x14ac:dyDescent="0.3">
      <c r="A83" s="214">
        <v>4</v>
      </c>
      <c r="B83" s="365" t="str">
        <f>IFERROR(TEXT(Actividad4,),"")</f>
        <v/>
      </c>
      <c r="C83" s="365"/>
      <c r="D83" s="259" t="str" cm="1">
        <f t="array" ref="D83">IFERROR(TEXT(ModAct4,),"")</f>
        <v/>
      </c>
      <c r="E83" s="258" t="str" cm="1">
        <f t="array" ref="E83">IFERROR(TEXT(TipoDAct4,),"")</f>
        <v/>
      </c>
      <c r="F83" s="258" t="str" cm="1">
        <f t="array" ref="F83">IF(B83="","",IFERROR(HProf4,0))</f>
        <v/>
      </c>
      <c r="G83" s="258" t="str">
        <f t="shared" si="3"/>
        <v/>
      </c>
      <c r="H83" s="258" t="str">
        <f t="shared" si="4"/>
        <v/>
      </c>
      <c r="I83" s="258" t="str">
        <f>IF(B83="","",IFERROR(Horas4,0))</f>
        <v/>
      </c>
      <c r="J83" s="371"/>
    </row>
    <row r="84" spans="1:10" ht="31.2" customHeight="1" x14ac:dyDescent="0.3">
      <c r="A84" s="214">
        <v>5</v>
      </c>
      <c r="B84" s="365" t="str">
        <f>IFERROR(TEXT(Actividad5,),"")</f>
        <v/>
      </c>
      <c r="C84" s="365"/>
      <c r="D84" s="259" t="str" cm="1">
        <f t="array" ref="D84">IFERROR(TEXT(ModAct5,),"")</f>
        <v/>
      </c>
      <c r="E84" s="258" t="str" cm="1">
        <f t="array" ref="E84">IFERROR(TEXT(TipoDAct5,),"")</f>
        <v/>
      </c>
      <c r="F84" s="258" t="str" cm="1">
        <f t="array" ref="F84">IF(B84="","",IFERROR(HProf5,0))</f>
        <v/>
      </c>
      <c r="G84" s="258" t="str">
        <f t="shared" si="3"/>
        <v/>
      </c>
      <c r="H84" s="258" t="str">
        <f t="shared" si="4"/>
        <v/>
      </c>
      <c r="I84" s="258" t="str">
        <f>IF(B84="","",IFERROR(Horas5,0))</f>
        <v/>
      </c>
      <c r="J84" s="371"/>
    </row>
    <row r="85" spans="1:10" ht="31.2" customHeight="1" x14ac:dyDescent="0.3">
      <c r="A85" s="214">
        <v>6</v>
      </c>
      <c r="B85" s="365" t="str">
        <f>IFERROR(TEXT(Actividad6,),"")</f>
        <v/>
      </c>
      <c r="C85" s="365"/>
      <c r="D85" s="259" t="str">
        <f>IFERROR(TEXT(ModAct6,),"")</f>
        <v/>
      </c>
      <c r="E85" s="258" t="str">
        <f>IFERROR(TEXT(TipoDAct6,),"")</f>
        <v/>
      </c>
      <c r="F85" s="258" t="str">
        <f>IF(B85="","",IFERROR(HProf6,0))</f>
        <v/>
      </c>
      <c r="G85" s="258" t="str">
        <f t="shared" si="3"/>
        <v/>
      </c>
      <c r="H85" s="258" t="str">
        <f t="shared" si="4"/>
        <v/>
      </c>
      <c r="I85" s="258" t="str">
        <f>IF(B85="","",IFERROR(Horas6,0))</f>
        <v/>
      </c>
      <c r="J85" s="371"/>
    </row>
    <row r="86" spans="1:10" ht="31.2" customHeight="1" x14ac:dyDescent="0.3">
      <c r="A86" s="214">
        <v>7</v>
      </c>
      <c r="B86" s="365" t="str">
        <f>IFERROR(TEXT(Actividad7,),"")</f>
        <v/>
      </c>
      <c r="C86" s="365"/>
      <c r="D86" s="259" t="str">
        <f>IFERROR(TEXT(ModAct7,),"")</f>
        <v/>
      </c>
      <c r="E86" s="258" t="str">
        <f>IFERROR(TEXT(TipoDAct7,),"")</f>
        <v/>
      </c>
      <c r="F86" s="258" t="str">
        <f>IF(B86="","",IFERROR(HProf7,0))</f>
        <v/>
      </c>
      <c r="G86" s="258" t="str">
        <f t="shared" si="3"/>
        <v/>
      </c>
      <c r="H86" s="258" t="str">
        <f t="shared" si="4"/>
        <v/>
      </c>
      <c r="I86" s="258" t="str">
        <f>IF(B86="","",IFERROR(Horas7,0))</f>
        <v/>
      </c>
      <c r="J86" s="371"/>
    </row>
    <row r="87" spans="1:10" ht="31.2" customHeight="1" x14ac:dyDescent="0.3">
      <c r="A87" s="214">
        <v>8</v>
      </c>
      <c r="B87" s="365" t="str">
        <f>IFERROR(TEXT(Actividad8,),"")</f>
        <v/>
      </c>
      <c r="C87" s="365"/>
      <c r="D87" s="259" t="str">
        <f>IFERROR(TEXT(ModAct8,),"")</f>
        <v/>
      </c>
      <c r="E87" s="258" t="str">
        <f>IFERROR(TEXT(TipoDAct8,),"")</f>
        <v/>
      </c>
      <c r="F87" s="258" t="str">
        <f>IF(B87="","",IFERROR(HProf8,0))</f>
        <v/>
      </c>
      <c r="G87" s="258" t="str">
        <f t="shared" si="3"/>
        <v/>
      </c>
      <c r="H87" s="258" t="str">
        <f t="shared" si="4"/>
        <v/>
      </c>
      <c r="I87" s="258" t="str">
        <f>IF(B87="","",IFERROR(Horas8,0))</f>
        <v/>
      </c>
      <c r="J87" s="371"/>
    </row>
    <row r="88" spans="1:10" ht="31.2" customHeight="1" x14ac:dyDescent="0.3">
      <c r="A88" s="214">
        <v>9</v>
      </c>
      <c r="B88" s="365" t="str">
        <f>IFERROR(TEXT(Actividad9,),"")</f>
        <v/>
      </c>
      <c r="C88" s="365"/>
      <c r="D88" s="259" t="str">
        <f>IFERROR(TEXT(ModAct9,),"")</f>
        <v/>
      </c>
      <c r="E88" s="258" t="str">
        <f>IFERROR(TEXT(TipoDAct9,),"")</f>
        <v/>
      </c>
      <c r="F88" s="258" t="str">
        <f>IF(B88="","",IFERROR(HProf9,0))</f>
        <v/>
      </c>
      <c r="G88" s="258" t="str">
        <f t="shared" si="3"/>
        <v/>
      </c>
      <c r="H88" s="258" t="str">
        <f t="shared" si="4"/>
        <v/>
      </c>
      <c r="I88" s="258" t="str">
        <f>IF(B88="","",IFERROR(Horas9,0))</f>
        <v/>
      </c>
      <c r="J88" s="371"/>
    </row>
    <row r="89" spans="1:10" ht="31.2" customHeight="1" x14ac:dyDescent="0.3">
      <c r="A89" s="214">
        <v>10</v>
      </c>
      <c r="B89" s="365" t="str">
        <f>IFERROR(TEXT(Actividad10,),"")</f>
        <v/>
      </c>
      <c r="C89" s="365"/>
      <c r="D89" s="259" t="str">
        <f>IFERROR(TEXT(ModAct10,),"")</f>
        <v/>
      </c>
      <c r="E89" s="258" t="str">
        <f>IFERROR(TEXT(TipoDAct10,),"")</f>
        <v/>
      </c>
      <c r="F89" s="258" t="str">
        <f>IF(B89="","",IFERROR(HProf10,0))</f>
        <v/>
      </c>
      <c r="G89" s="258" t="str">
        <f t="shared" si="3"/>
        <v/>
      </c>
      <c r="H89" s="258" t="str">
        <f t="shared" si="4"/>
        <v/>
      </c>
      <c r="I89" s="258" t="str">
        <f>IF(B89="","",IFERROR(Horas10,0))</f>
        <v/>
      </c>
      <c r="J89" s="372"/>
    </row>
    <row r="90" spans="1:10" x14ac:dyDescent="0.3">
      <c r="A90" s="130"/>
      <c r="E90" s="257" t="s">
        <v>124</v>
      </c>
      <c r="F90" s="258">
        <f>SUM(F80:F89)</f>
        <v>0</v>
      </c>
      <c r="G90" s="258">
        <f>SUM(G80:G89)</f>
        <v>0</v>
      </c>
      <c r="H90" s="258">
        <f>SUM(H80:H89)</f>
        <v>0</v>
      </c>
      <c r="I90" s="258">
        <f>SUM(I80:I89)</f>
        <v>0</v>
      </c>
      <c r="J90" s="258" t="str">
        <f>'Datos generales'!D32</f>
        <v/>
      </c>
    </row>
    <row r="91" spans="1:10" x14ac:dyDescent="0.3">
      <c r="J91" s="212" t="s">
        <v>9</v>
      </c>
    </row>
    <row r="92" spans="1:10" x14ac:dyDescent="0.3">
      <c r="J92" s="258" t="str">
        <f>IFERROR(I90-J90,"")</f>
        <v/>
      </c>
    </row>
    <row r="93" spans="1:10" x14ac:dyDescent="0.3">
      <c r="C93" s="279" t="s">
        <v>126</v>
      </c>
      <c r="D93" s="279"/>
      <c r="E93" s="279"/>
      <c r="F93" s="279"/>
      <c r="G93" s="279"/>
      <c r="H93" s="279"/>
    </row>
    <row r="95" spans="1:10" ht="31.2" x14ac:dyDescent="0.3">
      <c r="C95" s="215" t="s">
        <v>130</v>
      </c>
      <c r="D95" s="216" t="s">
        <v>133</v>
      </c>
      <c r="E95" s="216" t="s">
        <v>129</v>
      </c>
      <c r="F95" s="216" t="s">
        <v>30</v>
      </c>
      <c r="G95" s="125" t="s">
        <v>128</v>
      </c>
      <c r="H95" s="216" t="s">
        <v>124</v>
      </c>
    </row>
    <row r="96" spans="1:10" x14ac:dyDescent="0.3">
      <c r="C96" s="144">
        <v>2025</v>
      </c>
      <c r="D96" s="129" t="s">
        <v>78</v>
      </c>
      <c r="E96" s="129" t="s">
        <v>131</v>
      </c>
      <c r="F96" s="129">
        <f>IFERROR(SUMIFS($J$11:$J$30,$I$11:$I$30,"Teórica"),"")</f>
        <v>0</v>
      </c>
      <c r="G96" s="17"/>
      <c r="H96" s="129">
        <f>G96*F96</f>
        <v>0</v>
      </c>
    </row>
    <row r="97" spans="2:8" x14ac:dyDescent="0.3">
      <c r="C97" s="144">
        <v>2025</v>
      </c>
      <c r="D97" s="129" t="s">
        <v>78</v>
      </c>
      <c r="E97" s="129" t="s">
        <v>132</v>
      </c>
      <c r="F97" s="129">
        <f>IFERROR(SUMIFS($J$37:$J$56,$I$37:$I$56,"Teórica"),"")</f>
        <v>0</v>
      </c>
      <c r="G97" s="17"/>
      <c r="H97" s="129">
        <f t="shared" ref="H97:H99" si="5">G97*F97</f>
        <v>0</v>
      </c>
    </row>
    <row r="98" spans="2:8" x14ac:dyDescent="0.3">
      <c r="C98" s="144">
        <v>2025</v>
      </c>
      <c r="D98" s="129" t="s">
        <v>79</v>
      </c>
      <c r="E98" s="129" t="s">
        <v>131</v>
      </c>
      <c r="F98" s="129">
        <f>IFERROR(SUMIFS($J$11:$J$30,$I$11:$I$30,"Práctica"),"")</f>
        <v>0</v>
      </c>
      <c r="G98" s="17"/>
      <c r="H98" s="129">
        <f t="shared" si="5"/>
        <v>0</v>
      </c>
    </row>
    <row r="99" spans="2:8" x14ac:dyDescent="0.3">
      <c r="C99" s="144">
        <v>2025</v>
      </c>
      <c r="D99" s="129" t="s">
        <v>79</v>
      </c>
      <c r="E99" s="129" t="s">
        <v>132</v>
      </c>
      <c r="F99" s="129">
        <f>IFERROR(SUMIFS($J$37:$J$56,$I$37:$I$56,"Práctica"),"")</f>
        <v>0</v>
      </c>
      <c r="G99" s="17"/>
      <c r="H99" s="129">
        <f t="shared" si="5"/>
        <v>0</v>
      </c>
    </row>
    <row r="100" spans="2:8" x14ac:dyDescent="0.3">
      <c r="C100" s="130"/>
      <c r="E100" s="217" t="s">
        <v>124</v>
      </c>
      <c r="F100" s="129">
        <f>SUM(F96:F99)</f>
        <v>0</v>
      </c>
      <c r="G100" s="217" t="s">
        <v>124</v>
      </c>
      <c r="H100" s="129">
        <f>SUM(H96:H99)</f>
        <v>0</v>
      </c>
    </row>
    <row r="103" spans="2:8" x14ac:dyDescent="0.3">
      <c r="C103" s="279" t="s">
        <v>148</v>
      </c>
      <c r="D103" s="279"/>
      <c r="E103" s="279"/>
      <c r="F103" s="279"/>
      <c r="G103" s="279"/>
      <c r="H103" s="279"/>
    </row>
    <row r="104" spans="2:8" x14ac:dyDescent="0.3">
      <c r="B104" s="145"/>
      <c r="D104" s="145"/>
      <c r="E104" s="146" t="s">
        <v>151</v>
      </c>
      <c r="F104" s="146" t="s">
        <v>127</v>
      </c>
      <c r="G104" s="146" t="s">
        <v>149</v>
      </c>
    </row>
    <row r="105" spans="2:8" x14ac:dyDescent="0.3">
      <c r="B105" s="147"/>
      <c r="D105" s="148" t="s">
        <v>150</v>
      </c>
      <c r="E105" s="149" cm="1">
        <f t="array" ref="E105">SUM(IF(FREQUENCY(IF(LEN(E11:E30)&gt;0,MATCH(E11:E30,E11:E30,0),""),IF(LEN(E11:E30)&gt;0,MATCH(E11:E30,E11:E30,0),""))&gt;0,1))</f>
        <v>0</v>
      </c>
      <c r="F105" s="150">
        <f>F96+F98</f>
        <v>0</v>
      </c>
      <c r="G105" s="25">
        <f>IFERROR(F105/F107,0)</f>
        <v>0</v>
      </c>
    </row>
    <row r="106" spans="2:8" x14ac:dyDescent="0.3">
      <c r="B106" s="147"/>
      <c r="D106" s="148" t="s">
        <v>132</v>
      </c>
      <c r="E106" s="149" cm="1">
        <f t="array" ref="E106">SUM(IF(FREQUENCY(IF(LEN(E37:E56)&gt;0,MATCH(E37:E56,E37:E56,0),""),IF(LEN(E37:E56)&gt;0,MATCH(E37:E56,E37:E56,0),""))&gt;0,1))</f>
        <v>0</v>
      </c>
      <c r="F106" s="150">
        <f>F97+F99</f>
        <v>0</v>
      </c>
      <c r="G106" s="25">
        <f>IFERROR(F106/F107,0)</f>
        <v>0</v>
      </c>
    </row>
    <row r="107" spans="2:8" x14ac:dyDescent="0.3">
      <c r="B107" s="145"/>
      <c r="D107" s="151" t="s">
        <v>124</v>
      </c>
      <c r="E107" s="152">
        <f>SUM(E105:E106)</f>
        <v>0</v>
      </c>
      <c r="F107" s="153">
        <f>SUM(F105:F106)</f>
        <v>0</v>
      </c>
      <c r="G107" s="154">
        <f>SUM(G105:G106)</f>
        <v>0</v>
      </c>
    </row>
    <row r="108" spans="2:8" x14ac:dyDescent="0.3">
      <c r="B108" s="145"/>
      <c r="D108" s="145"/>
      <c r="E108" s="155"/>
      <c r="F108" s="145"/>
      <c r="G108" s="156"/>
    </row>
    <row r="109" spans="2:8" x14ac:dyDescent="0.3">
      <c r="C109" s="366" t="str">
        <f>IF(G105&lt;25%,"Cuando la participación del profesorado de UO es inferior al 20% se debe cumplimentar el apartado siguiente:","")</f>
        <v>Cuando la participación del profesorado de UO es inferior al 20% se debe cumplimentar el apartado siguiente:</v>
      </c>
      <c r="D109" s="366"/>
      <c r="E109" s="366"/>
      <c r="F109" s="366"/>
      <c r="G109" s="366"/>
      <c r="H109" s="366"/>
    </row>
    <row r="110" spans="2:8" x14ac:dyDescent="0.3">
      <c r="B110" s="157"/>
    </row>
    <row r="111" spans="2:8" ht="31.5" customHeight="1" x14ac:dyDescent="0.3">
      <c r="C111" s="338" t="s">
        <v>733</v>
      </c>
      <c r="D111" s="339"/>
      <c r="E111" s="339"/>
      <c r="F111" s="339"/>
      <c r="G111" s="339"/>
      <c r="H111" s="340"/>
    </row>
    <row r="112" spans="2:8" ht="124.8" customHeight="1" x14ac:dyDescent="0.3">
      <c r="C112" s="367"/>
      <c r="D112" s="368"/>
      <c r="E112" s="368"/>
      <c r="F112" s="368"/>
      <c r="G112" s="368"/>
      <c r="H112" s="369"/>
    </row>
  </sheetData>
  <sheetProtection algorithmName="SHA-512" hashValue="/exWuzBmyA7dMcBy5M1g50DmbVsAYEtbxqlFw79u8uvpfqTvPkaR4uSt1uXogyfspA73+AFQYZI1fzDzhPS/nA==" saltValue="DHMqIp/j1K9KDK9NgqeATA==" spinCount="100000" sheet="1" objects="1" scenarios="1" selectLockedCells="1"/>
  <mergeCells count="55">
    <mergeCell ref="C109:H109"/>
    <mergeCell ref="C111:H111"/>
    <mergeCell ref="C112:H112"/>
    <mergeCell ref="C103:H103"/>
    <mergeCell ref="J79:J89"/>
    <mergeCell ref="B87:C87"/>
    <mergeCell ref="B88:C88"/>
    <mergeCell ref="B89:C89"/>
    <mergeCell ref="C93:H93"/>
    <mergeCell ref="B81:C81"/>
    <mergeCell ref="B82:C82"/>
    <mergeCell ref="B83:C83"/>
    <mergeCell ref="B84:C84"/>
    <mergeCell ref="B85:C85"/>
    <mergeCell ref="B86:C86"/>
    <mergeCell ref="A76:J76"/>
    <mergeCell ref="G78:H78"/>
    <mergeCell ref="A78:F78"/>
    <mergeCell ref="A79:C79"/>
    <mergeCell ref="B80:C80"/>
    <mergeCell ref="H73:J73"/>
    <mergeCell ref="B63:D63"/>
    <mergeCell ref="H62:J63"/>
    <mergeCell ref="H64:J64"/>
    <mergeCell ref="H65:J65"/>
    <mergeCell ref="H66:J66"/>
    <mergeCell ref="H67:J67"/>
    <mergeCell ref="H68:J68"/>
    <mergeCell ref="H69:J69"/>
    <mergeCell ref="H70:J70"/>
    <mergeCell ref="H71:J71"/>
    <mergeCell ref="H72:J72"/>
    <mergeCell ref="H57:I57"/>
    <mergeCell ref="G9:G10"/>
    <mergeCell ref="G35:G36"/>
    <mergeCell ref="A60:J60"/>
    <mergeCell ref="A62:A63"/>
    <mergeCell ref="F62:F63"/>
    <mergeCell ref="G62:G63"/>
    <mergeCell ref="A33:J33"/>
    <mergeCell ref="A35:A36"/>
    <mergeCell ref="F35:F36"/>
    <mergeCell ref="H35:H36"/>
    <mergeCell ref="I35:I36"/>
    <mergeCell ref="J35:J36"/>
    <mergeCell ref="B36:D36"/>
    <mergeCell ref="F9:F10"/>
    <mergeCell ref="I9:I10"/>
    <mergeCell ref="H31:I31"/>
    <mergeCell ref="A5:J5"/>
    <mergeCell ref="A7:J7"/>
    <mergeCell ref="A9:A10"/>
    <mergeCell ref="H9:H10"/>
    <mergeCell ref="J9:J10"/>
    <mergeCell ref="B10:D10"/>
  </mergeCells>
  <phoneticPr fontId="41" type="noConversion"/>
  <conditionalFormatting sqref="G105">
    <cfRule type="cellIs" dxfId="10" priority="5" operator="lessThan">
      <formula>0.2</formula>
    </cfRule>
  </conditionalFormatting>
  <conditionalFormatting sqref="H80:H90">
    <cfRule type="containsBlanks" dxfId="9" priority="4">
      <formula>LEN(TRIM(H80))=0</formula>
    </cfRule>
    <cfRule type="cellIs" dxfId="8" priority="8" operator="notEqual">
      <formula>0</formula>
    </cfRule>
  </conditionalFormatting>
  <conditionalFormatting sqref="J92">
    <cfRule type="containsBlanks" dxfId="7" priority="1">
      <formula>LEN(TRIM(J92))=0</formula>
    </cfRule>
    <cfRule type="cellIs" dxfId="6" priority="2" operator="notEqual">
      <formula>0</formula>
    </cfRule>
  </conditionalFormatting>
  <dataValidations count="2">
    <dataValidation type="decimal" allowBlank="1" showInputMessage="1" showErrorMessage="1" sqref="G96:G97" xr:uid="{23592A2B-5A83-4B7F-8E39-BE112C4958DE}">
      <formula1>0</formula1>
      <formula2>140</formula2>
    </dataValidation>
    <dataValidation type="decimal" allowBlank="1" showInputMessage="1" showErrorMessage="1" sqref="G98:G99" xr:uid="{693805AE-E490-4F6A-B291-0CD224EC8A79}">
      <formula1>0</formula1>
      <formula2>75</formula2>
    </dataValidation>
  </dataValidations>
  <pageMargins left="0.59055118110236227" right="0.59055118110236227" top="0.59055118110236227" bottom="0.59055118110236227" header="0.31496062992125984" footer="0.31496062992125984"/>
  <pageSetup paperSize="9" scale="64" fitToHeight="0" orientation="portrait" horizontalDpi="1200" verticalDpi="1200" r:id="rId1"/>
  <headerFooter>
    <oddFooter>&amp;L&amp;A&amp;C&amp;P de &amp;N&amp;R&amp;D&amp;T</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FC2428-EC60-4F83-BE0E-E97F10BB4816}">
          <x14:formula1>
            <xm:f>'Memoria académica'!$B$21:$B$30</xm:f>
          </x14:formula1>
          <xm:sqref>H11:H30 H37:H56</xm:sqref>
        </x14:dataValidation>
        <x14:dataValidation type="list" allowBlank="1" showInputMessage="1" showErrorMessage="1" xr:uid="{485CF9E9-3C6A-4A36-B0A8-ADE694D3E9A1}">
          <x14:formula1>
            <xm:f>Listado!$D$2:$D$194</xm:f>
          </x14:formula1>
          <xm:sqref>G11:G30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3140-CB60-4C5D-9123-54F5F20957E9}">
  <sheetPr codeName="Hoja7">
    <tabColor rgb="FFFFFFCC"/>
    <pageSetUpPr fitToPage="1"/>
  </sheetPr>
  <dimension ref="A1:X144"/>
  <sheetViews>
    <sheetView showGridLines="0" workbookViewId="0">
      <selection activeCell="B19" sqref="B19"/>
    </sheetView>
  </sheetViews>
  <sheetFormatPr baseColWidth="10" defaultColWidth="11.44140625" defaultRowHeight="15.6" x14ac:dyDescent="0.3"/>
  <cols>
    <col min="1" max="1" width="39.5546875" style="1" customWidth="1"/>
    <col min="2" max="2" width="22.109375" style="1" customWidth="1"/>
    <col min="3" max="3" width="16.5546875" style="1" customWidth="1"/>
    <col min="4" max="4" width="16.44140625" style="1" customWidth="1"/>
    <col min="5" max="5" width="16.21875" style="1" customWidth="1"/>
    <col min="6" max="6" width="18" style="1" customWidth="1"/>
    <col min="7" max="19" width="11.44140625" style="1"/>
    <col min="20" max="24" width="11.44140625" style="45"/>
    <col min="25" max="16384" width="11.44140625" style="1"/>
  </cols>
  <sheetData>
    <row r="1" spans="1:7" ht="15.6" customHeight="1" x14ac:dyDescent="0.3"/>
    <row r="2" spans="1:7" ht="15.6" customHeight="1" x14ac:dyDescent="0.3"/>
    <row r="3" spans="1:7" ht="15.6" customHeight="1" x14ac:dyDescent="0.3"/>
    <row r="4" spans="1:7" ht="15.6" customHeight="1" x14ac:dyDescent="0.3"/>
    <row r="5" spans="1:7" ht="15.6" customHeight="1" x14ac:dyDescent="0.3"/>
    <row r="6" spans="1:7" ht="15.6" customHeight="1" thickBot="1" x14ac:dyDescent="0.35">
      <c r="A6" s="390" t="s">
        <v>31</v>
      </c>
      <c r="B6" s="390"/>
      <c r="C6" s="390"/>
      <c r="D6" s="390"/>
      <c r="E6" s="51" t="str">
        <f>'Datos generales'!E7</f>
        <v>v 1.2 12/01/2025</v>
      </c>
      <c r="F6" s="52"/>
      <c r="G6" s="52"/>
    </row>
    <row r="7" spans="1:7" ht="15.6" customHeight="1" x14ac:dyDescent="0.3">
      <c r="A7" s="158"/>
      <c r="B7" s="158"/>
      <c r="C7" s="158"/>
      <c r="D7" s="158"/>
      <c r="E7" s="54"/>
      <c r="F7" s="52"/>
      <c r="G7" s="52"/>
    </row>
    <row r="8" spans="1:7" ht="15.6" customHeight="1" x14ac:dyDescent="0.3">
      <c r="A8" s="331" t="str">
        <f>"Microcredencial Universitaria en "&amp;TítuloMU</f>
        <v xml:space="preserve">Microcredencial Universitaria en </v>
      </c>
      <c r="B8" s="331"/>
      <c r="C8" s="331"/>
      <c r="D8" s="331"/>
      <c r="E8" s="331"/>
    </row>
    <row r="9" spans="1:7" ht="15.6" customHeight="1" x14ac:dyDescent="0.3"/>
    <row r="10" spans="1:7" ht="15.6" customHeight="1" x14ac:dyDescent="0.3"/>
    <row r="11" spans="1:7" ht="15.6" customHeight="1" x14ac:dyDescent="0.3">
      <c r="A11" s="279" t="s">
        <v>709</v>
      </c>
      <c r="B11" s="279"/>
      <c r="C11" s="279"/>
      <c r="D11" s="279"/>
      <c r="E11" s="279"/>
      <c r="F11" s="6"/>
    </row>
    <row r="12" spans="1:7" ht="15.6" customHeight="1" x14ac:dyDescent="0.3"/>
    <row r="13" spans="1:7" ht="15.6" customHeight="1" x14ac:dyDescent="0.3">
      <c r="A13" s="159" t="s">
        <v>699</v>
      </c>
      <c r="B13" s="159"/>
      <c r="C13" s="160">
        <f>Plazas.Tot</f>
        <v>0</v>
      </c>
    </row>
    <row r="14" spans="1:7" ht="15.6" customHeight="1" x14ac:dyDescent="0.3">
      <c r="A14" s="159" t="s">
        <v>698</v>
      </c>
      <c r="B14" s="159"/>
      <c r="C14" s="160">
        <f>Min.Estud</f>
        <v>0</v>
      </c>
    </row>
    <row r="15" spans="1:7" ht="15.6" customHeight="1" x14ac:dyDescent="0.3"/>
    <row r="16" spans="1:7" ht="15.6" customHeight="1" x14ac:dyDescent="0.3">
      <c r="A16" s="338" t="s">
        <v>14</v>
      </c>
      <c r="B16" s="339"/>
      <c r="C16" s="339"/>
      <c r="D16" s="339"/>
      <c r="E16" s="339"/>
      <c r="F16" s="161"/>
    </row>
    <row r="17" spans="1:6" ht="15.6" customHeight="1" x14ac:dyDescent="0.3"/>
    <row r="18" spans="1:6" ht="31.2" customHeight="1" x14ac:dyDescent="0.3">
      <c r="A18" s="96" t="s">
        <v>15</v>
      </c>
      <c r="B18" s="162" t="s">
        <v>362</v>
      </c>
      <c r="C18" s="162" t="s">
        <v>10</v>
      </c>
      <c r="D18" s="163" t="s">
        <v>147</v>
      </c>
      <c r="E18" s="162" t="s">
        <v>16</v>
      </c>
      <c r="F18" s="164"/>
    </row>
    <row r="19" spans="1:6" ht="15.6" customHeight="1" x14ac:dyDescent="0.3">
      <c r="A19" s="165" t="s">
        <v>134</v>
      </c>
      <c r="B19" s="24"/>
      <c r="C19" s="10"/>
      <c r="D19" s="166">
        <f>$D$42*(1-B19)</f>
        <v>0</v>
      </c>
      <c r="E19" s="166">
        <f>D19*C19</f>
        <v>0</v>
      </c>
      <c r="F19" s="167"/>
    </row>
    <row r="20" spans="1:6" ht="15.6" customHeight="1" x14ac:dyDescent="0.3">
      <c r="A20" s="165"/>
      <c r="B20" s="74"/>
      <c r="C20" s="139"/>
      <c r="D20" s="168"/>
    </row>
    <row r="21" spans="1:6" ht="15.6" customHeight="1" x14ac:dyDescent="0.3">
      <c r="A21" s="165" t="s">
        <v>678</v>
      </c>
      <c r="B21" s="24"/>
      <c r="C21" s="10"/>
      <c r="D21" s="166">
        <f>$D$42*(1-B21)</f>
        <v>0</v>
      </c>
      <c r="E21" s="166">
        <f>D21*C21</f>
        <v>0</v>
      </c>
      <c r="F21" s="167"/>
    </row>
    <row r="22" spans="1:6" ht="15.6" customHeight="1" x14ac:dyDescent="0.3">
      <c r="A22" s="165"/>
      <c r="B22" s="74"/>
      <c r="C22" s="74"/>
      <c r="D22" s="4"/>
    </row>
    <row r="23" spans="1:6" ht="15.6" customHeight="1" x14ac:dyDescent="0.3">
      <c r="A23" s="165" t="s">
        <v>146</v>
      </c>
      <c r="B23" s="24"/>
      <c r="C23" s="10"/>
      <c r="D23" s="166">
        <f>$D$42*(1-B23)</f>
        <v>0</v>
      </c>
      <c r="E23" s="166">
        <f>D23*C23</f>
        <v>0</v>
      </c>
      <c r="F23" s="167"/>
    </row>
    <row r="24" spans="1:6" ht="15.6" customHeight="1" x14ac:dyDescent="0.3">
      <c r="A24" s="169"/>
      <c r="B24" s="47"/>
      <c r="C24" s="170"/>
      <c r="D24" s="4"/>
      <c r="E24" s="4"/>
    </row>
    <row r="25" spans="1:6" ht="15.6" customHeight="1" x14ac:dyDescent="0.3">
      <c r="A25" s="169"/>
      <c r="B25" s="171" t="s">
        <v>17</v>
      </c>
      <c r="C25" s="172">
        <f>SUM(C19 + C21 +C23)</f>
        <v>0</v>
      </c>
      <c r="D25" s="4"/>
      <c r="E25" s="166">
        <f>SUM(E19+E21+E23)</f>
        <v>0</v>
      </c>
    </row>
    <row r="26" spans="1:6" ht="15.6" customHeight="1" x14ac:dyDescent="0.3">
      <c r="A26" s="169"/>
      <c r="C26" s="169"/>
      <c r="D26" s="170"/>
      <c r="E26" s="4"/>
      <c r="F26" s="4"/>
    </row>
    <row r="27" spans="1:6" ht="15.6" customHeight="1" x14ac:dyDescent="0.3">
      <c r="A27" s="173" t="s">
        <v>18</v>
      </c>
      <c r="B27" s="164"/>
      <c r="C27" s="174"/>
      <c r="D27" s="164"/>
    </row>
    <row r="28" spans="1:6" ht="15.6" customHeight="1" x14ac:dyDescent="0.3">
      <c r="A28" s="397" t="s">
        <v>679</v>
      </c>
      <c r="B28" s="398"/>
      <c r="C28" s="399"/>
      <c r="D28" s="400"/>
      <c r="E28" s="401"/>
    </row>
    <row r="29" spans="1:6" ht="31.2" customHeight="1" x14ac:dyDescent="0.3">
      <c r="A29" s="169"/>
      <c r="B29" s="175" t="s">
        <v>10</v>
      </c>
      <c r="C29" s="163" t="s">
        <v>19</v>
      </c>
      <c r="D29" s="176" t="s">
        <v>20</v>
      </c>
      <c r="E29" s="176" t="s">
        <v>16</v>
      </c>
      <c r="F29" s="177"/>
    </row>
    <row r="30" spans="1:6" ht="15.6" customHeight="1" x14ac:dyDescent="0.3">
      <c r="B30" s="10"/>
      <c r="C30" s="20"/>
      <c r="D30" s="178" t="str">
        <f>IF(C30&lt;&gt;0,Precio-C30,"")</f>
        <v/>
      </c>
      <c r="E30" s="178" t="str">
        <f>IFERROR(B30*(C30+D30),"")</f>
        <v/>
      </c>
    </row>
    <row r="31" spans="1:6" ht="15.6" customHeight="1" x14ac:dyDescent="0.3">
      <c r="B31" s="74"/>
    </row>
    <row r="32" spans="1:6" ht="15.6" customHeight="1" x14ac:dyDescent="0.3">
      <c r="A32" s="179" t="s">
        <v>176</v>
      </c>
      <c r="B32" s="175" t="s">
        <v>177</v>
      </c>
      <c r="C32" s="4"/>
      <c r="E32" s="176" t="s">
        <v>681</v>
      </c>
    </row>
    <row r="33" spans="1:5" ht="15.6" customHeight="1" x14ac:dyDescent="0.3">
      <c r="A33" s="180"/>
      <c r="B33" s="391"/>
      <c r="C33" s="392"/>
      <c r="D33" s="393"/>
      <c r="E33" s="21"/>
    </row>
    <row r="34" spans="1:5" ht="15.6" customHeight="1" x14ac:dyDescent="0.3">
      <c r="B34" s="4"/>
      <c r="C34" s="4"/>
      <c r="D34" s="4"/>
    </row>
    <row r="35" spans="1:5" ht="15.6" customHeight="1" x14ac:dyDescent="0.3">
      <c r="A35" s="180"/>
      <c r="B35" s="391"/>
      <c r="C35" s="392"/>
      <c r="D35" s="393"/>
      <c r="E35" s="21"/>
    </row>
    <row r="36" spans="1:5" ht="15.6" customHeight="1" x14ac:dyDescent="0.3">
      <c r="B36" s="4"/>
      <c r="C36" s="4"/>
      <c r="D36" s="4"/>
    </row>
    <row r="37" spans="1:5" ht="15.6" customHeight="1" x14ac:dyDescent="0.3">
      <c r="B37" s="391"/>
      <c r="C37" s="392"/>
      <c r="D37" s="393"/>
      <c r="E37" s="21"/>
    </row>
    <row r="38" spans="1:5" ht="15.6" customHeight="1" x14ac:dyDescent="0.3">
      <c r="B38" s="4"/>
      <c r="C38" s="4"/>
      <c r="D38" s="4"/>
    </row>
    <row r="39" spans="1:5" ht="15.6" customHeight="1" x14ac:dyDescent="0.3">
      <c r="C39" s="2"/>
      <c r="D39" s="181" t="s">
        <v>21</v>
      </c>
      <c r="E39" s="182">
        <f>SUM(E25,E30,E33:E37)</f>
        <v>0</v>
      </c>
    </row>
    <row r="40" spans="1:5" ht="15.6" customHeight="1" x14ac:dyDescent="0.3">
      <c r="A40" s="47"/>
      <c r="B40" s="183"/>
      <c r="C40" s="183"/>
    </row>
    <row r="41" spans="1:5" ht="31.2" customHeight="1" x14ac:dyDescent="0.3">
      <c r="A41" s="402" t="s">
        <v>680</v>
      </c>
      <c r="B41" s="184"/>
      <c r="C41" s="163" t="s">
        <v>10</v>
      </c>
      <c r="D41" s="163" t="s">
        <v>22</v>
      </c>
      <c r="E41" s="162" t="s">
        <v>16</v>
      </c>
    </row>
    <row r="42" spans="1:5" ht="15.6" customHeight="1" x14ac:dyDescent="0.3">
      <c r="A42" s="402"/>
      <c r="C42" s="10"/>
      <c r="D42" s="182">
        <f>Precio</f>
        <v>0</v>
      </c>
      <c r="E42" s="182">
        <f>C42*D42</f>
        <v>0</v>
      </c>
    </row>
    <row r="43" spans="1:5" ht="15.6" customHeight="1" x14ac:dyDescent="0.3">
      <c r="A43" s="184"/>
      <c r="C43" s="185"/>
      <c r="D43" s="131"/>
      <c r="E43" s="131"/>
    </row>
    <row r="44" spans="1:5" ht="15.6" customHeight="1" x14ac:dyDescent="0.3">
      <c r="A44" s="186" t="s">
        <v>23</v>
      </c>
      <c r="B44" s="187"/>
      <c r="C44" s="188">
        <f>SUM(C25,C42,N.Est.Becados)</f>
        <v>0</v>
      </c>
      <c r="D44" s="403" t="str">
        <f>IF(C44&gt;Plazas.Tot,"ERROR: El núm. de estudiantes es mayor que el número de plazas consignadas en Datos generales",IF(C44&gt;Min.Estud,"El número de estudiante empleado para el cálculo supera el mínimo indicado en Datos generales",""))</f>
        <v/>
      </c>
      <c r="E44" s="403"/>
    </row>
    <row r="45" spans="1:5" ht="15.6" customHeight="1" x14ac:dyDescent="0.3">
      <c r="A45" s="186"/>
      <c r="B45" s="187"/>
      <c r="C45" s="185"/>
      <c r="D45" s="403"/>
      <c r="E45" s="403"/>
    </row>
    <row r="46" spans="1:5" ht="15.6" customHeight="1" x14ac:dyDescent="0.3">
      <c r="A46" s="184"/>
      <c r="C46" s="185"/>
      <c r="D46" s="131"/>
      <c r="E46" s="131"/>
    </row>
    <row r="47" spans="1:5" ht="15.6" customHeight="1" x14ac:dyDescent="0.3">
      <c r="A47" s="186" t="s">
        <v>24</v>
      </c>
      <c r="B47" s="161"/>
      <c r="E47" s="182">
        <f>SUM(E39,E42)</f>
        <v>0</v>
      </c>
    </row>
    <row r="48" spans="1:5" ht="15.6" customHeight="1" x14ac:dyDescent="0.3">
      <c r="A48" s="187"/>
      <c r="B48" s="161"/>
      <c r="E48" s="183"/>
    </row>
    <row r="49" spans="1:7" ht="15.6" customHeight="1" x14ac:dyDescent="0.3">
      <c r="A49" s="186" t="s">
        <v>145</v>
      </c>
      <c r="B49" s="161"/>
      <c r="D49" s="189">
        <v>0.21</v>
      </c>
      <c r="E49" s="182">
        <f>E47 * D49</f>
        <v>0</v>
      </c>
    </row>
    <row r="50" spans="1:7" ht="15.6" customHeight="1" x14ac:dyDescent="0.3">
      <c r="A50" s="187"/>
      <c r="B50" s="161"/>
      <c r="E50" s="183"/>
    </row>
    <row r="51" spans="1:7" ht="15.6" customHeight="1" x14ac:dyDescent="0.3">
      <c r="A51" s="186" t="s">
        <v>25</v>
      </c>
      <c r="B51" s="161"/>
      <c r="E51" s="271">
        <f>IFERROR(E47-E49,"")</f>
        <v>0</v>
      </c>
    </row>
    <row r="52" spans="1:7" ht="15.6" customHeight="1" x14ac:dyDescent="0.3">
      <c r="A52" s="187"/>
      <c r="B52" s="161"/>
      <c r="E52" s="183"/>
    </row>
    <row r="53" spans="1:7" ht="15.6" customHeight="1" x14ac:dyDescent="0.3">
      <c r="A53" s="187"/>
      <c r="B53" s="161"/>
      <c r="E53" s="183"/>
    </row>
    <row r="54" spans="1:7" ht="15.6" customHeight="1" x14ac:dyDescent="0.3">
      <c r="A54" s="187"/>
      <c r="B54" s="161"/>
      <c r="E54" s="183"/>
    </row>
    <row r="55" spans="1:7" ht="15.6" customHeight="1" x14ac:dyDescent="0.3">
      <c r="A55" s="161"/>
      <c r="D55" s="183"/>
    </row>
    <row r="56" spans="1:7" ht="15.6" customHeight="1" x14ac:dyDescent="0.3">
      <c r="A56" s="394" t="s">
        <v>740</v>
      </c>
      <c r="B56" s="395"/>
      <c r="C56" s="395"/>
      <c r="D56" s="395"/>
      <c r="E56" s="396"/>
      <c r="F56" s="161"/>
    </row>
    <row r="57" spans="1:7" ht="31.2" customHeight="1" x14ac:dyDescent="0.3">
      <c r="A57" s="378" t="s">
        <v>739</v>
      </c>
      <c r="B57" s="379"/>
      <c r="C57" s="379"/>
      <c r="D57" s="379"/>
      <c r="E57" s="380"/>
      <c r="F57" s="190"/>
    </row>
    <row r="58" spans="1:7" ht="15.6" customHeight="1" x14ac:dyDescent="0.3">
      <c r="B58" s="164"/>
    </row>
    <row r="59" spans="1:7" ht="15.6" customHeight="1" x14ac:dyDescent="0.3">
      <c r="A59" s="96" t="s">
        <v>701</v>
      </c>
      <c r="C59" s="191" t="s">
        <v>706</v>
      </c>
      <c r="D59" s="191" t="s">
        <v>707</v>
      </c>
      <c r="E59" s="192">
        <f>SUM(C60:C66)</f>
        <v>0</v>
      </c>
    </row>
    <row r="60" spans="1:7" ht="15.6" customHeight="1" x14ac:dyDescent="0.3">
      <c r="A60" s="9" t="s">
        <v>135</v>
      </c>
      <c r="C60" s="20"/>
      <c r="D60" s="182">
        <v>0</v>
      </c>
      <c r="G60" s="54"/>
    </row>
    <row r="61" spans="1:7" ht="15.6" customHeight="1" x14ac:dyDescent="0.3">
      <c r="A61" s="193" t="s">
        <v>750</v>
      </c>
      <c r="C61" s="20"/>
      <c r="D61" s="182">
        <v>0</v>
      </c>
    </row>
    <row r="62" spans="1:7" ht="15.6" customHeight="1" x14ac:dyDescent="0.3">
      <c r="A62" s="193" t="s">
        <v>137</v>
      </c>
      <c r="C62" s="182">
        <f>'Personal docente y de apoyo'!H96+'Personal docente y de apoyo'!H98</f>
        <v>0</v>
      </c>
      <c r="D62" s="182">
        <f>'Personal docente y de apoyo'!I96+'Personal docente y de apoyo'!I98</f>
        <v>0</v>
      </c>
    </row>
    <row r="63" spans="1:7" ht="15.6" customHeight="1" x14ac:dyDescent="0.3">
      <c r="A63" s="193" t="s">
        <v>138</v>
      </c>
      <c r="C63" s="182">
        <f>'Personal docente y de apoyo'!H97+'Personal docente y de apoyo'!H99</f>
        <v>0</v>
      </c>
      <c r="D63" s="182">
        <f>'Personal docente y de apoyo'!I97+'Personal docente y de apoyo'!I99</f>
        <v>0</v>
      </c>
    </row>
    <row r="64" spans="1:7" ht="15.6" customHeight="1" x14ac:dyDescent="0.3">
      <c r="A64" s="61" t="s">
        <v>178</v>
      </c>
      <c r="C64" s="20"/>
      <c r="D64" s="182">
        <v>0</v>
      </c>
    </row>
    <row r="65" spans="1:5" ht="15.6" customHeight="1" x14ac:dyDescent="0.3">
      <c r="A65" s="1" t="s">
        <v>142</v>
      </c>
      <c r="C65" s="20"/>
      <c r="D65" s="182">
        <v>0</v>
      </c>
    </row>
    <row r="66" spans="1:5" ht="15.6" customHeight="1" x14ac:dyDescent="0.3">
      <c r="A66" s="1" t="s">
        <v>749</v>
      </c>
      <c r="C66" s="20"/>
      <c r="D66" s="182">
        <v>0</v>
      </c>
    </row>
    <row r="67" spans="1:5" ht="15.6" customHeight="1" x14ac:dyDescent="0.3">
      <c r="D67" s="194"/>
    </row>
    <row r="68" spans="1:5" ht="15.6" customHeight="1" x14ac:dyDescent="0.3">
      <c r="A68" s="96" t="s">
        <v>700</v>
      </c>
      <c r="C68" s="191" t="s">
        <v>706</v>
      </c>
      <c r="D68" s="191" t="s">
        <v>707</v>
      </c>
      <c r="E68" s="192">
        <f>SUM(C69:D71)</f>
        <v>0</v>
      </c>
    </row>
    <row r="69" spans="1:5" ht="15.6" customHeight="1" x14ac:dyDescent="0.3">
      <c r="A69" s="45" t="s">
        <v>139</v>
      </c>
      <c r="C69" s="20"/>
      <c r="D69" s="20"/>
    </row>
    <row r="70" spans="1:5" ht="15.6" customHeight="1" x14ac:dyDescent="0.3">
      <c r="A70" s="45" t="s">
        <v>140</v>
      </c>
      <c r="C70" s="20"/>
      <c r="D70" s="20"/>
    </row>
    <row r="71" spans="1:5" ht="15.6" customHeight="1" x14ac:dyDescent="0.3">
      <c r="A71" s="45" t="s">
        <v>141</v>
      </c>
      <c r="C71" s="20"/>
      <c r="D71" s="20"/>
    </row>
    <row r="72" spans="1:5" ht="15.6" customHeight="1" x14ac:dyDescent="0.3">
      <c r="A72" s="45"/>
      <c r="D72" s="194"/>
    </row>
    <row r="73" spans="1:5" ht="15.6" customHeight="1" x14ac:dyDescent="0.3">
      <c r="A73" s="96" t="s">
        <v>703</v>
      </c>
      <c r="C73" s="191" t="s">
        <v>706</v>
      </c>
      <c r="D73" s="191" t="s">
        <v>707</v>
      </c>
      <c r="E73" s="192">
        <f>SUM(C74:D75)</f>
        <v>0</v>
      </c>
    </row>
    <row r="74" spans="1:5" ht="15.6" customHeight="1" x14ac:dyDescent="0.3">
      <c r="A74" s="45" t="s">
        <v>143</v>
      </c>
      <c r="C74" s="20"/>
      <c r="D74" s="20"/>
    </row>
    <row r="75" spans="1:5" ht="15.6" customHeight="1" x14ac:dyDescent="0.3">
      <c r="A75" s="45" t="s">
        <v>144</v>
      </c>
      <c r="C75" s="20"/>
      <c r="D75" s="20"/>
    </row>
    <row r="76" spans="1:5" ht="15.6" customHeight="1" x14ac:dyDescent="0.3"/>
    <row r="77" spans="1:5" ht="15.6" customHeight="1" x14ac:dyDescent="0.3">
      <c r="A77" s="96" t="s">
        <v>702</v>
      </c>
      <c r="C77" s="191" t="s">
        <v>706</v>
      </c>
      <c r="D77" s="191" t="s">
        <v>707</v>
      </c>
      <c r="E77" s="192">
        <f>SUM(C78:D84)</f>
        <v>0</v>
      </c>
    </row>
    <row r="78" spans="1:5" ht="15.6" customHeight="1" x14ac:dyDescent="0.3">
      <c r="A78" s="45" t="s">
        <v>682</v>
      </c>
      <c r="C78" s="20"/>
      <c r="D78" s="20"/>
    </row>
    <row r="79" spans="1:5" ht="15.6" customHeight="1" x14ac:dyDescent="0.3">
      <c r="A79" s="45" t="s">
        <v>747</v>
      </c>
      <c r="C79" s="20"/>
      <c r="D79" s="20"/>
    </row>
    <row r="80" spans="1:5" ht="15.6" customHeight="1" x14ac:dyDescent="0.3">
      <c r="A80" s="45" t="s">
        <v>152</v>
      </c>
      <c r="C80" s="20"/>
      <c r="D80" s="20"/>
    </row>
    <row r="81" spans="1:7" ht="15.6" customHeight="1" x14ac:dyDescent="0.3">
      <c r="A81" s="1" t="s">
        <v>153</v>
      </c>
      <c r="C81" s="20"/>
      <c r="D81" s="20"/>
      <c r="E81" s="195"/>
    </row>
    <row r="82" spans="1:7" ht="15.6" customHeight="1" x14ac:dyDescent="0.3">
      <c r="A82" s="1" t="s">
        <v>748</v>
      </c>
      <c r="C82" s="20"/>
      <c r="D82" s="20"/>
      <c r="E82" s="195"/>
    </row>
    <row r="83" spans="1:7" ht="15.6" customHeight="1" x14ac:dyDescent="0.3">
      <c r="C83" s="20"/>
      <c r="D83" s="20"/>
      <c r="E83" s="195"/>
    </row>
    <row r="84" spans="1:7" ht="15.6" customHeight="1" x14ac:dyDescent="0.3">
      <c r="C84" s="20"/>
      <c r="D84" s="20"/>
      <c r="E84" s="195"/>
    </row>
    <row r="85" spans="1:7" ht="15.6" customHeight="1" x14ac:dyDescent="0.3">
      <c r="C85" s="194"/>
      <c r="D85" s="194"/>
      <c r="E85" s="195"/>
    </row>
    <row r="86" spans="1:7" ht="15.6" customHeight="1" x14ac:dyDescent="0.3">
      <c r="A86" s="90" t="s">
        <v>751</v>
      </c>
      <c r="E86" s="195"/>
    </row>
    <row r="87" spans="1:7" ht="46.8" customHeight="1" x14ac:dyDescent="0.3">
      <c r="A87" s="384" t="s">
        <v>704</v>
      </c>
      <c r="B87" s="384"/>
      <c r="C87" s="384"/>
      <c r="D87" s="384"/>
    </row>
    <row r="88" spans="1:7" ht="15.6" customHeight="1" x14ac:dyDescent="0.3">
      <c r="A88" s="196"/>
      <c r="B88" s="196"/>
      <c r="C88" s="196"/>
      <c r="D88" s="196"/>
    </row>
    <row r="89" spans="1:7" ht="15.6" customHeight="1" x14ac:dyDescent="0.3">
      <c r="A89" s="196"/>
      <c r="B89" s="196"/>
      <c r="C89" s="191" t="s">
        <v>706</v>
      </c>
      <c r="D89" s="191" t="s">
        <v>707</v>
      </c>
    </row>
    <row r="90" spans="1:7" ht="15.6" customHeight="1" x14ac:dyDescent="0.3">
      <c r="A90" s="96" t="s">
        <v>26</v>
      </c>
      <c r="C90" s="182">
        <f>SUM(C60:C84)</f>
        <v>0</v>
      </c>
      <c r="D90" s="182">
        <f>SUM(D60:D84)</f>
        <v>0</v>
      </c>
      <c r="E90" s="271">
        <f>SUM(E59,E77,E68,E73)</f>
        <v>0</v>
      </c>
      <c r="F90" s="183"/>
    </row>
    <row r="91" spans="1:7" ht="15.6" customHeight="1" thickBot="1" x14ac:dyDescent="0.35">
      <c r="C91" s="197"/>
      <c r="D91" s="197"/>
      <c r="E91" s="197"/>
      <c r="F91" s="198"/>
      <c r="G91" s="198"/>
    </row>
    <row r="92" spans="1:7" ht="15.6" customHeight="1" thickBot="1" x14ac:dyDescent="0.35">
      <c r="A92" s="187"/>
      <c r="C92" s="387" t="s">
        <v>27</v>
      </c>
      <c r="D92" s="387"/>
      <c r="E92" s="270">
        <f>E51 - E90</f>
        <v>0</v>
      </c>
      <c r="F92" s="183"/>
      <c r="G92" s="199"/>
    </row>
    <row r="93" spans="1:7" ht="15.6" customHeight="1" x14ac:dyDescent="0.3">
      <c r="C93" s="388" t="str">
        <f>IF(B104=FALSE,IF(OR(E92&lt;-0.0099,E92&gt;0.0099),"La diferencia de ingresos y gastos debe ser igual a 0 € si no se solicita financiación del Plan Microcreds",""),"")</f>
        <v/>
      </c>
      <c r="D93" s="388"/>
      <c r="E93" s="388"/>
      <c r="F93" s="198"/>
      <c r="G93" s="198"/>
    </row>
    <row r="94" spans="1:7" ht="15.6" customHeight="1" x14ac:dyDescent="0.3">
      <c r="C94" s="197"/>
      <c r="D94" s="197"/>
      <c r="E94" s="197"/>
      <c r="F94" s="198"/>
      <c r="G94" s="198"/>
    </row>
    <row r="95" spans="1:7" ht="15.6" customHeight="1" x14ac:dyDescent="0.3">
      <c r="E95" s="200"/>
      <c r="F95" s="198"/>
      <c r="G95" s="198"/>
    </row>
    <row r="96" spans="1:7" ht="15.6" customHeight="1" x14ac:dyDescent="0.3">
      <c r="A96" s="338" t="s">
        <v>179</v>
      </c>
      <c r="B96" s="339"/>
      <c r="C96" s="339"/>
      <c r="D96" s="339"/>
      <c r="E96" s="339"/>
      <c r="F96" s="198"/>
      <c r="G96" s="198"/>
    </row>
    <row r="97" spans="1:12" ht="93.6" customHeight="1" x14ac:dyDescent="0.3">
      <c r="A97" s="381"/>
      <c r="B97" s="382"/>
      <c r="C97" s="382"/>
      <c r="D97" s="382"/>
      <c r="E97" s="383"/>
      <c r="G97" s="198"/>
    </row>
    <row r="98" spans="1:12" ht="15.6" customHeight="1" x14ac:dyDescent="0.3">
      <c r="A98" s="201"/>
      <c r="B98" s="201"/>
      <c r="C98" s="201"/>
      <c r="D98" s="201"/>
      <c r="E98" s="201"/>
      <c r="G98" s="198"/>
    </row>
    <row r="99" spans="1:12" ht="15.6" customHeight="1" x14ac:dyDescent="0.3">
      <c r="A99" s="201"/>
      <c r="B99" s="201"/>
      <c r="C99" s="201"/>
      <c r="D99" s="201"/>
      <c r="E99" s="201"/>
      <c r="G99" s="198"/>
    </row>
    <row r="100" spans="1:12" ht="15.6" customHeight="1" x14ac:dyDescent="0.3">
      <c r="A100" s="201"/>
      <c r="B100" s="201"/>
      <c r="C100" s="201"/>
      <c r="D100" s="201"/>
      <c r="E100" s="201"/>
      <c r="G100" s="198"/>
    </row>
    <row r="101" spans="1:12" ht="15.6" customHeight="1" x14ac:dyDescent="0.3">
      <c r="E101" s="200"/>
      <c r="F101" s="198"/>
      <c r="G101" s="198"/>
    </row>
    <row r="102" spans="1:12" ht="15.6" customHeight="1" x14ac:dyDescent="0.3">
      <c r="A102" s="385" t="s">
        <v>721</v>
      </c>
      <c r="B102" s="385"/>
      <c r="C102" s="385"/>
      <c r="D102" s="385"/>
      <c r="E102" s="385"/>
      <c r="F102" s="77"/>
      <c r="J102" s="200"/>
      <c r="K102" s="198"/>
      <c r="L102" s="198"/>
    </row>
    <row r="103" spans="1:12" ht="15.6" customHeight="1" x14ac:dyDescent="0.3">
      <c r="A103" s="113"/>
      <c r="B103" s="113"/>
      <c r="C103" s="113"/>
      <c r="D103" s="113"/>
      <c r="E103" s="113"/>
      <c r="F103" s="198"/>
      <c r="G103" s="198"/>
    </row>
    <row r="104" spans="1:12" ht="15.6" customHeight="1" x14ac:dyDescent="0.3">
      <c r="A104" s="5" t="s">
        <v>719</v>
      </c>
      <c r="B104" s="108" t="b">
        <v>0</v>
      </c>
      <c r="C104" s="113"/>
      <c r="D104" s="113"/>
      <c r="E104" s="113"/>
      <c r="F104" s="198"/>
      <c r="G104" s="198"/>
    </row>
    <row r="105" spans="1:12" ht="15.6" customHeight="1" x14ac:dyDescent="0.3">
      <c r="A105" s="113"/>
      <c r="B105" s="113"/>
      <c r="C105" s="113"/>
      <c r="D105" s="113"/>
      <c r="E105" s="113"/>
      <c r="F105" s="198"/>
      <c r="G105" s="198"/>
    </row>
    <row r="106" spans="1:12" ht="15.6" customHeight="1" x14ac:dyDescent="0.3">
      <c r="A106" s="77" t="s">
        <v>708</v>
      </c>
      <c r="E106" s="200"/>
      <c r="F106" s="198"/>
      <c r="G106" s="198"/>
    </row>
    <row r="107" spans="1:12" ht="46.8" customHeight="1" x14ac:dyDescent="0.3">
      <c r="A107" s="324" t="s">
        <v>752</v>
      </c>
      <c r="B107" s="324"/>
      <c r="C107" s="324"/>
      <c r="D107" s="324"/>
      <c r="E107" s="324"/>
      <c r="F107" s="198"/>
      <c r="G107" s="198"/>
    </row>
    <row r="108" spans="1:12" ht="31.2" customHeight="1" x14ac:dyDescent="0.3">
      <c r="A108" s="324" t="s">
        <v>757</v>
      </c>
      <c r="B108" s="324"/>
      <c r="C108" s="324"/>
      <c r="D108" s="324"/>
      <c r="E108" s="324"/>
      <c r="F108" s="198"/>
      <c r="G108" s="198"/>
    </row>
    <row r="109" spans="1:12" ht="15.6" customHeight="1" x14ac:dyDescent="0.3">
      <c r="A109" s="113"/>
      <c r="B109" s="113"/>
      <c r="C109" s="113"/>
      <c r="D109" s="113"/>
      <c r="E109" s="113"/>
      <c r="F109" s="198"/>
      <c r="G109" s="198"/>
    </row>
    <row r="110" spans="1:12" ht="31.2" customHeight="1" x14ac:dyDescent="0.3">
      <c r="A110" s="386" t="s">
        <v>716</v>
      </c>
      <c r="B110" s="339"/>
      <c r="C110" s="339"/>
      <c r="D110" s="339"/>
      <c r="E110" s="340"/>
    </row>
    <row r="111" spans="1:12" ht="31.2" customHeight="1" x14ac:dyDescent="0.3">
      <c r="A111" s="389" t="s">
        <v>753</v>
      </c>
      <c r="B111" s="389"/>
      <c r="C111" s="389"/>
      <c r="D111" s="389"/>
      <c r="E111" s="389"/>
    </row>
    <row r="112" spans="1:12" ht="15.6" customHeight="1" x14ac:dyDescent="0.3">
      <c r="A112" s="202"/>
    </row>
    <row r="113" spans="1:7" ht="15.6" customHeight="1" x14ac:dyDescent="0.3">
      <c r="A113" s="203" t="s">
        <v>720</v>
      </c>
      <c r="C113" s="10"/>
      <c r="D113" s="204" t="s">
        <v>714</v>
      </c>
    </row>
    <row r="114" spans="1:7" ht="15.6" customHeight="1" x14ac:dyDescent="0.3">
      <c r="E114" s="205" t="s">
        <v>724</v>
      </c>
    </row>
    <row r="115" spans="1:7" ht="15.6" customHeight="1" x14ac:dyDescent="0.3">
      <c r="A115" s="206" t="s">
        <v>718</v>
      </c>
      <c r="B115" s="43"/>
      <c r="C115" s="182">
        <f>C90</f>
        <v>0</v>
      </c>
      <c r="E115" s="182" t="str">
        <f>IFERROR(C115/C113,"")</f>
        <v/>
      </c>
    </row>
    <row r="116" spans="1:7" ht="15.6" customHeight="1" x14ac:dyDescent="0.3">
      <c r="A116" s="206" t="s">
        <v>710</v>
      </c>
      <c r="B116" s="207"/>
      <c r="C116" s="182">
        <f>D90+(C115+D90)*0.21/0.79</f>
        <v>0</v>
      </c>
      <c r="E116" s="182" t="str">
        <f>IFERROR(C116/C113,"")</f>
        <v/>
      </c>
    </row>
    <row r="117" spans="1:7" ht="15.6" customHeight="1" x14ac:dyDescent="0.3">
      <c r="A117" s="206"/>
      <c r="B117" s="207"/>
    </row>
    <row r="118" spans="1:7" ht="15.6" customHeight="1" x14ac:dyDescent="0.3">
      <c r="A118" s="206" t="s">
        <v>723</v>
      </c>
      <c r="B118" s="207"/>
      <c r="C118" s="10"/>
      <c r="E118" s="182" t="str">
        <f>IFERROR(C118/C113,"")</f>
        <v/>
      </c>
    </row>
    <row r="119" spans="1:7" ht="15.6" customHeight="1" x14ac:dyDescent="0.3">
      <c r="A119" s="206"/>
      <c r="B119" s="194" t="s">
        <v>717</v>
      </c>
      <c r="C119" s="182">
        <f>SUM(C115:C116)-C118</f>
        <v>0</v>
      </c>
      <c r="D119" s="194"/>
      <c r="E119" s="182" t="str">
        <f>IFERROR(C119/C113,"")</f>
        <v/>
      </c>
    </row>
    <row r="120" spans="1:7" ht="15.6" customHeight="1" x14ac:dyDescent="0.3">
      <c r="A120" s="203"/>
      <c r="C120" s="194"/>
    </row>
    <row r="121" spans="1:7" ht="15.6" customHeight="1" x14ac:dyDescent="0.3">
      <c r="A121" s="203" t="s">
        <v>725</v>
      </c>
      <c r="B121" s="182" t="str">
        <f>IFERROR((C116-C118)/C113,"")</f>
        <v/>
      </c>
      <c r="C121" s="54" t="s">
        <v>712</v>
      </c>
      <c r="D121" s="182" t="str">
        <f>IFERROR(0.3*C115/C113,"")</f>
        <v/>
      </c>
      <c r="E121" s="86" t="str">
        <f>IF(B121&gt;=D121,"☑","NO CUMPLE")</f>
        <v>☑</v>
      </c>
    </row>
    <row r="122" spans="1:7" ht="15.6" customHeight="1" x14ac:dyDescent="0.3">
      <c r="A122" s="203"/>
      <c r="C122" s="54" t="s">
        <v>713</v>
      </c>
      <c r="D122" s="182" t="str">
        <f>B124</f>
        <v/>
      </c>
      <c r="E122" s="86" t="str">
        <f>IF(B121&lt;=D122,"☑","NO CUMPLE")</f>
        <v>☑</v>
      </c>
    </row>
    <row r="123" spans="1:7" ht="15.6" customHeight="1" x14ac:dyDescent="0.3">
      <c r="A123" s="203"/>
      <c r="B123" s="194"/>
      <c r="E123" s="86"/>
    </row>
    <row r="124" spans="1:7" ht="15.6" customHeight="1" x14ac:dyDescent="0.3">
      <c r="A124" s="203" t="s">
        <v>711</v>
      </c>
      <c r="B124" s="182" t="str">
        <f>IFERROR((C119-B121*C113)/C113,"")</f>
        <v/>
      </c>
      <c r="C124" s="54" t="s">
        <v>713</v>
      </c>
      <c r="D124" s="182">
        <v>650</v>
      </c>
      <c r="E124" s="86" t="str">
        <f>IF(B124&lt;=D124,"☑","NO CUMPLE")</f>
        <v>NO CUMPLE</v>
      </c>
      <c r="G124" s="208"/>
    </row>
    <row r="125" spans="1:7" ht="15.6" customHeight="1" x14ac:dyDescent="0.3"/>
    <row r="126" spans="1:7" ht="15.6" customHeight="1" x14ac:dyDescent="0.3">
      <c r="A126" s="1" t="s">
        <v>722</v>
      </c>
      <c r="F126" s="208"/>
    </row>
    <row r="127" spans="1:7" ht="15.6" customHeight="1" x14ac:dyDescent="0.3"/>
    <row r="128" spans="1:7" ht="15.6" customHeight="1" x14ac:dyDescent="0.3">
      <c r="A128" s="203" t="s">
        <v>726</v>
      </c>
      <c r="B128" s="182" t="str">
        <f>IFERROR(IF(B124&lt;=D124,IF(B121&gt;D122,MIN(D122,IF(B121&lt;D121,D121,B121)),IF(B121&lt;D121,D121,B121)),(C119-C113*B131)/C113),"")</f>
        <v/>
      </c>
      <c r="C128" s="54" t="s">
        <v>712</v>
      </c>
      <c r="D128" s="182" t="str">
        <f>IFERROR(0.3*C115/C113,"")</f>
        <v/>
      </c>
      <c r="E128" s="86" t="str">
        <f>IF(B128&gt;=D128,"☑","NO CUMPLE")</f>
        <v>☑</v>
      </c>
    </row>
    <row r="129" spans="1:8" ht="15.6" customHeight="1" x14ac:dyDescent="0.3">
      <c r="C129" s="54" t="s">
        <v>713</v>
      </c>
      <c r="D129" s="182" t="str">
        <f>IFERROR(C115/C113,"")</f>
        <v/>
      </c>
      <c r="E129" s="86" t="str">
        <f>IF(B128&lt;=D129,"☑","NO CUMPLE")</f>
        <v>☑</v>
      </c>
    </row>
    <row r="130" spans="1:8" ht="15.6" customHeight="1" x14ac:dyDescent="0.3"/>
    <row r="131" spans="1:8" ht="15.6" customHeight="1" x14ac:dyDescent="0.3">
      <c r="A131" s="203" t="s">
        <v>715</v>
      </c>
      <c r="B131" s="182">
        <f>IF(B124&lt;=D124,IF(B121&gt;=D121,B124,(C119-C113*B128)/C113),D124)</f>
        <v>650</v>
      </c>
      <c r="C131" s="54" t="s">
        <v>713</v>
      </c>
      <c r="D131" s="182">
        <v>650</v>
      </c>
      <c r="E131" s="86" t="str">
        <f>IF(B131&lt;=D131,"☑","NO CUMPLE")</f>
        <v>☑</v>
      </c>
    </row>
    <row r="132" spans="1:8" ht="15.6" customHeight="1" x14ac:dyDescent="0.3">
      <c r="A132" s="203"/>
    </row>
    <row r="133" spans="1:8" ht="15.6" customHeight="1" x14ac:dyDescent="0.3">
      <c r="A133" s="203"/>
    </row>
    <row r="134" spans="1:8" ht="15.6" customHeight="1" x14ac:dyDescent="0.3">
      <c r="A134" s="203"/>
    </row>
    <row r="135" spans="1:8" ht="15.6" customHeight="1" x14ac:dyDescent="0.3">
      <c r="A135" s="4" t="s">
        <v>11</v>
      </c>
      <c r="B135" s="138"/>
      <c r="C135" s="373" t="s">
        <v>136</v>
      </c>
      <c r="D135" s="373"/>
      <c r="E135" s="373"/>
    </row>
    <row r="136" spans="1:8" ht="15.6" customHeight="1" x14ac:dyDescent="0.3">
      <c r="B136" s="4"/>
    </row>
    <row r="137" spans="1:8" ht="15.6" customHeight="1" x14ac:dyDescent="0.3">
      <c r="A137" s="138"/>
      <c r="B137" s="138"/>
      <c r="C137" s="138"/>
      <c r="D137" s="138"/>
      <c r="E137" s="138"/>
    </row>
    <row r="138" spans="1:8" ht="15.6" customHeight="1" x14ac:dyDescent="0.3">
      <c r="A138" s="138"/>
      <c r="B138" s="138"/>
      <c r="C138" s="138"/>
      <c r="D138" s="138"/>
      <c r="E138" s="138"/>
    </row>
    <row r="139" spans="1:8" ht="15.6" customHeight="1" x14ac:dyDescent="0.3">
      <c r="A139" s="138"/>
      <c r="B139" s="138"/>
      <c r="C139" s="138"/>
      <c r="D139" s="138"/>
      <c r="E139" s="138"/>
    </row>
    <row r="140" spans="1:8" ht="15.6" customHeight="1" x14ac:dyDescent="0.3">
      <c r="A140" s="138"/>
      <c r="B140" s="138"/>
      <c r="C140" s="138"/>
      <c r="D140" s="138"/>
      <c r="E140" s="138"/>
    </row>
    <row r="141" spans="1:8" ht="15.6" customHeight="1" x14ac:dyDescent="0.3">
      <c r="G141" s="83"/>
      <c r="H141" s="83"/>
    </row>
    <row r="142" spans="1:8" ht="15.6" customHeight="1" x14ac:dyDescent="0.3">
      <c r="F142" s="209"/>
    </row>
    <row r="143" spans="1:8" ht="15.6" customHeight="1" x14ac:dyDescent="0.3">
      <c r="A143" s="210" t="s">
        <v>28</v>
      </c>
      <c r="C143" s="374" t="s">
        <v>12</v>
      </c>
      <c r="D143" s="374"/>
      <c r="E143" s="83"/>
    </row>
    <row r="144" spans="1:8" ht="15.6" customHeight="1" x14ac:dyDescent="0.3">
      <c r="A144" s="48" t="str">
        <f>IF(DirNombre="","",DirNombre)</f>
        <v/>
      </c>
      <c r="B144" s="198"/>
      <c r="C144" s="375"/>
      <c r="D144" s="376"/>
      <c r="E144" s="377"/>
    </row>
  </sheetData>
  <sheetProtection algorithmName="SHA-512" hashValue="s5lcHbHe/nxQuo1vntI+JwNqKnWv3WVKnVJ89k1F2jKe/FGP7nZOkXw9t3st4VNki3aBawzEA6KGze8kTBFygg==" saltValue="KQN06zLWIh3kSE6gVqixwA==" spinCount="100000" sheet="1" objects="1" scenarios="1" selectLockedCells="1"/>
  <mergeCells count="26">
    <mergeCell ref="A6:D6"/>
    <mergeCell ref="B37:D37"/>
    <mergeCell ref="B35:D35"/>
    <mergeCell ref="A56:E56"/>
    <mergeCell ref="A11:E11"/>
    <mergeCell ref="A16:E16"/>
    <mergeCell ref="A28:B28"/>
    <mergeCell ref="C28:E28"/>
    <mergeCell ref="B33:D33"/>
    <mergeCell ref="A41:A42"/>
    <mergeCell ref="D44:E45"/>
    <mergeCell ref="C135:E135"/>
    <mergeCell ref="C143:D143"/>
    <mergeCell ref="C144:E144"/>
    <mergeCell ref="A8:E8"/>
    <mergeCell ref="A57:E57"/>
    <mergeCell ref="A96:E96"/>
    <mergeCell ref="A97:E97"/>
    <mergeCell ref="A108:E108"/>
    <mergeCell ref="A107:E107"/>
    <mergeCell ref="A87:D87"/>
    <mergeCell ref="A102:E102"/>
    <mergeCell ref="A110:E110"/>
    <mergeCell ref="C92:D92"/>
    <mergeCell ref="C93:E93"/>
    <mergeCell ref="A111:E111"/>
  </mergeCells>
  <conditionalFormatting sqref="B19">
    <cfRule type="cellIs" dxfId="5" priority="6" operator="greaterThan">
      <formula>1</formula>
    </cfRule>
  </conditionalFormatting>
  <conditionalFormatting sqref="B21">
    <cfRule type="cellIs" dxfId="4" priority="5" operator="greaterThan">
      <formula>1</formula>
    </cfRule>
  </conditionalFormatting>
  <conditionalFormatting sqref="B23">
    <cfRule type="cellIs" dxfId="3" priority="7" operator="greaterThan">
      <formula>1</formula>
    </cfRule>
  </conditionalFormatting>
  <conditionalFormatting sqref="E92">
    <cfRule type="cellIs" dxfId="2" priority="10" operator="notEqual">
      <formula>0</formula>
    </cfRule>
  </conditionalFormatting>
  <conditionalFormatting sqref="E121:E124 E128:E129 E131">
    <cfRule type="notContainsText" dxfId="1" priority="3" operator="notContains" text="NO">
      <formula>ISERROR(SEARCH("NO",E121))</formula>
    </cfRule>
    <cfRule type="containsText" dxfId="0" priority="4" operator="containsText" text="NO">
      <formula>NOT(ISERROR(SEARCH("NO",E121)))</formula>
    </cfRule>
  </conditionalFormatting>
  <dataValidations count="6">
    <dataValidation type="whole" allowBlank="1" showInputMessage="1" showErrorMessage="1" sqref="C24" xr:uid="{7111DDD8-64DF-4E9A-909A-03E429D099D3}">
      <formula1>0</formula1>
      <formula2>1</formula2>
    </dataValidation>
    <dataValidation type="whole" operator="lessThanOrEqual" allowBlank="1" showInputMessage="1" showErrorMessage="1" error="La cantidad consignada excede el máximo permitido" sqref="E73 D67 E59 E77 E68 D72" xr:uid="{BD563983-D372-461C-B515-AA8734AD4353}">
      <formula1>C59</formula1>
    </dataValidation>
    <dataValidation type="decimal" operator="lessThanOrEqual" allowBlank="1" showInputMessage="1" showErrorMessage="1" sqref="B23 B19 B21" xr:uid="{0E65853B-0B7E-47F8-A873-F2410008188B}">
      <formula1>1</formula1>
    </dataValidation>
    <dataValidation type="whole" operator="lessThanOrEqual" allowBlank="1" showInputMessage="1" showErrorMessage="1" error="La cantidad consignada excede el máximo permitido" sqref="C62:C63" xr:uid="{FD22385C-3342-4B86-8C36-6F4070024860}">
      <formula1>#REF!</formula1>
    </dataValidation>
    <dataValidation operator="lessThanOrEqual" allowBlank="1" showInputMessage="1" showErrorMessage="1" error="La cantidad consignada excede el máximo permitido" sqref="D60:D66" xr:uid="{66A0B054-5FD2-4D16-A3B2-50B4E44AFF3D}"/>
    <dataValidation type="whole" operator="lessThanOrEqual" allowBlank="1" showInputMessage="1" showErrorMessage="1" error="La cantidad consignada excede el máximo permitido" sqref="C90:D90" xr:uid="{7C8B5F55-6E1D-410B-88C1-C4D73160BF30}">
      <formula1>A90</formula1>
    </dataValidation>
  </dataValidations>
  <pageMargins left="0.59055118110236227" right="0.59055118110236227" top="0.59055118110236227" bottom="0.59055118110236227" header="0.31496062992125984" footer="0.31496062992125984"/>
  <pageSetup paperSize="9" scale="82" fitToHeight="0" orientation="portrait" horizontalDpi="1200" verticalDpi="1200" r:id="rId1"/>
  <headerFooter>
    <oddFooter>&amp;L&amp;A&amp;C&amp;P de &amp;N&amp;R&amp;D&amp;T</oddFooter>
  </headerFooter>
  <drawing r:id="rId2"/>
  <extLst>
    <ext xmlns:x14="http://schemas.microsoft.com/office/spreadsheetml/2009/9/main" uri="{CCE6A557-97BC-4b89-ADB6-D9C93CAAB3DF}">
      <x14:dataValidations xmlns:xm="http://schemas.microsoft.com/office/excel/2006/main" count="3">
        <x14:dataValidation type="whole" allowBlank="1" showInputMessage="1" showErrorMessage="1" xr:uid="{608BAE19-9EAB-4556-9BBC-4A9D5DD9E364}">
          <x14:formula1>
            <xm:f>0</xm:f>
          </x14:formula1>
          <x14:formula2>
            <xm:f>'Datos generales'!B36</xm:f>
          </x14:formula2>
          <xm:sqref>C19</xm:sqref>
        </x14:dataValidation>
        <x14:dataValidation type="whole" allowBlank="1" showInputMessage="1" showErrorMessage="1" xr:uid="{0DB16729-46C9-4C82-8EE3-82BE99EB105B}">
          <x14:formula1>
            <xm:f>0</xm:f>
          </x14:formula1>
          <x14:formula2>
            <xm:f>'Datos generales'!B36</xm:f>
          </x14:formula2>
          <xm:sqref>C21</xm:sqref>
        </x14:dataValidation>
        <x14:dataValidation type="whole" allowBlank="1" showInputMessage="1" showErrorMessage="1" xr:uid="{D2260232-351D-4C9C-8DA9-EB977EEB99EC}">
          <x14:formula1>
            <xm:f>0</xm:f>
          </x14:formula1>
          <x14:formula2>
            <xm:f>'Datos generales'!B36</xm:f>
          </x14:formula2>
          <xm:sqref>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6721-3221-45B0-8192-218544C3DF3C}">
  <sheetPr codeName="Hoja8">
    <tabColor theme="9" tint="0.59999389629810485"/>
    <pageSetUpPr fitToPage="1"/>
  </sheetPr>
  <dimension ref="A1:O63"/>
  <sheetViews>
    <sheetView showGridLines="0" workbookViewId="0">
      <selection activeCell="B10" sqref="B10:D10"/>
    </sheetView>
  </sheetViews>
  <sheetFormatPr baseColWidth="10" defaultRowHeight="15.6" x14ac:dyDescent="0.3"/>
  <cols>
    <col min="1" max="1" width="18.44140625" style="1" customWidth="1"/>
    <col min="2" max="2" width="11.5546875" style="1"/>
    <col min="3" max="3" width="16" style="1" customWidth="1"/>
    <col min="4" max="4" width="21.21875" style="1" customWidth="1"/>
    <col min="5" max="5" width="18.77734375" style="1" customWidth="1"/>
    <col min="6" max="6" width="24.77734375" style="1" customWidth="1"/>
    <col min="7" max="16384" width="11.5546875" style="1"/>
  </cols>
  <sheetData>
    <row r="1" spans="1:6" ht="15.6" customHeight="1" x14ac:dyDescent="0.3"/>
    <row r="2" spans="1:6" ht="15.6" customHeight="1" x14ac:dyDescent="0.3"/>
    <row r="3" spans="1:6" ht="15.6" customHeight="1" x14ac:dyDescent="0.3"/>
    <row r="4" spans="1:6" ht="15.6" customHeight="1" x14ac:dyDescent="0.3"/>
    <row r="5" spans="1:6" ht="15.6" customHeight="1" x14ac:dyDescent="0.3">
      <c r="A5" s="331" t="str">
        <f>"Microcredencial Universitaria en "&amp;TítuloMU</f>
        <v xml:space="preserve">Microcredencial Universitaria en </v>
      </c>
      <c r="B5" s="331"/>
      <c r="C5" s="331"/>
      <c r="D5" s="331"/>
      <c r="E5" s="331"/>
      <c r="F5" s="331"/>
    </row>
    <row r="6" spans="1:6" ht="15.6" customHeight="1" x14ac:dyDescent="0.3">
      <c r="A6" s="3"/>
      <c r="B6" s="3"/>
      <c r="C6" s="3"/>
      <c r="D6" s="3"/>
      <c r="E6" s="3"/>
      <c r="F6" s="3"/>
    </row>
    <row r="7" spans="1:6" ht="15.6" customHeight="1" x14ac:dyDescent="0.3">
      <c r="A7" s="279" t="s">
        <v>387</v>
      </c>
      <c r="B7" s="279"/>
      <c r="C7" s="279"/>
      <c r="D7" s="279"/>
      <c r="E7" s="279"/>
      <c r="F7" s="279"/>
    </row>
    <row r="8" spans="1:6" ht="15.6" customHeight="1" x14ac:dyDescent="0.3">
      <c r="B8" s="4"/>
      <c r="C8" s="4"/>
      <c r="D8" s="4"/>
      <c r="E8" s="4"/>
      <c r="F8" s="4"/>
    </row>
    <row r="9" spans="1:6" ht="15.6" customHeight="1" x14ac:dyDescent="0.3">
      <c r="A9" s="63" t="s">
        <v>395</v>
      </c>
      <c r="B9" s="4"/>
      <c r="C9" s="4"/>
      <c r="D9" s="4"/>
      <c r="E9" s="4"/>
      <c r="F9" s="4"/>
    </row>
    <row r="10" spans="1:6" ht="15.6" customHeight="1" x14ac:dyDescent="0.3">
      <c r="A10" s="1" t="s">
        <v>154</v>
      </c>
      <c r="B10" s="417"/>
      <c r="C10" s="418"/>
      <c r="D10" s="419"/>
      <c r="F10" s="4"/>
    </row>
    <row r="11" spans="1:6" ht="15.6" customHeight="1" x14ac:dyDescent="0.3">
      <c r="A11" s="218" t="s">
        <v>160</v>
      </c>
      <c r="B11" s="415"/>
      <c r="C11" s="416"/>
      <c r="D11" s="54" t="s">
        <v>85</v>
      </c>
      <c r="E11" s="267"/>
      <c r="F11" s="4"/>
    </row>
    <row r="12" spans="1:6" ht="15.6" customHeight="1" x14ac:dyDescent="0.3">
      <c r="A12" s="61"/>
      <c r="B12" s="219"/>
      <c r="C12" s="220"/>
      <c r="D12" s="54"/>
      <c r="E12" s="221"/>
      <c r="F12" s="4"/>
    </row>
    <row r="13" spans="1:6" ht="15.6" customHeight="1" x14ac:dyDescent="0.3">
      <c r="A13" s="61"/>
      <c r="B13" s="222"/>
      <c r="C13" s="223"/>
      <c r="D13" s="54"/>
      <c r="E13" s="78"/>
      <c r="F13" s="4"/>
    </row>
    <row r="14" spans="1:6" ht="31.2" customHeight="1" x14ac:dyDescent="0.3">
      <c r="A14" s="338" t="s">
        <v>755</v>
      </c>
      <c r="B14" s="339"/>
      <c r="C14" s="339"/>
      <c r="D14" s="339"/>
      <c r="E14" s="339"/>
      <c r="F14" s="340"/>
    </row>
    <row r="15" spans="1:6" ht="78" customHeight="1" x14ac:dyDescent="0.3">
      <c r="A15" s="335"/>
      <c r="B15" s="336"/>
      <c r="C15" s="336"/>
      <c r="D15" s="336"/>
      <c r="E15" s="336"/>
      <c r="F15" s="337"/>
    </row>
    <row r="16" spans="1:6" ht="15.6" customHeight="1" x14ac:dyDescent="0.3">
      <c r="A16" s="79"/>
      <c r="B16" s="79"/>
      <c r="C16" s="79"/>
      <c r="D16" s="79"/>
      <c r="E16" s="79"/>
      <c r="F16" s="79"/>
    </row>
    <row r="17" spans="1:15" ht="15.6" customHeight="1" x14ac:dyDescent="0.3">
      <c r="B17" s="4"/>
      <c r="C17" s="4"/>
      <c r="D17" s="4"/>
      <c r="E17" s="4"/>
      <c r="F17" s="4"/>
    </row>
    <row r="18" spans="1:15" s="4" customFormat="1" ht="15.6" customHeight="1" x14ac:dyDescent="0.3">
      <c r="A18" s="412" t="s">
        <v>155</v>
      </c>
      <c r="B18" s="413"/>
      <c r="C18" s="413"/>
      <c r="D18" s="413"/>
      <c r="E18" s="413"/>
      <c r="F18" s="414"/>
      <c r="H18" s="1"/>
      <c r="I18" s="1"/>
      <c r="J18" s="1"/>
      <c r="K18" s="1"/>
      <c r="L18" s="1"/>
      <c r="M18" s="1"/>
      <c r="N18" s="1"/>
      <c r="O18" s="1"/>
    </row>
    <row r="19" spans="1:15" ht="15.6" customHeight="1" x14ac:dyDescent="0.3">
      <c r="B19" s="4"/>
      <c r="C19" s="4"/>
      <c r="D19" s="4"/>
      <c r="E19" s="4"/>
      <c r="F19" s="4"/>
    </row>
    <row r="20" spans="1:15" ht="15.6" customHeight="1" x14ac:dyDescent="0.3"/>
    <row r="21" spans="1:15" ht="15.6" customHeight="1" x14ac:dyDescent="0.3">
      <c r="A21" s="338" t="s">
        <v>163</v>
      </c>
      <c r="B21" s="339"/>
      <c r="C21" s="339"/>
      <c r="D21" s="339"/>
      <c r="E21" s="339"/>
      <c r="F21" s="340"/>
    </row>
    <row r="22" spans="1:15" ht="15.6" customHeight="1" x14ac:dyDescent="0.3"/>
    <row r="23" spans="1:15" ht="15.6" customHeight="1" x14ac:dyDescent="0.3">
      <c r="B23" s="404" t="s">
        <v>161</v>
      </c>
      <c r="C23" s="405"/>
      <c r="D23" s="224"/>
      <c r="E23" s="125" t="s">
        <v>162</v>
      </c>
    </row>
    <row r="24" spans="1:15" ht="15.6" customHeight="1" x14ac:dyDescent="0.3">
      <c r="B24" s="225" t="s">
        <v>379</v>
      </c>
      <c r="C24" s="226"/>
      <c r="D24" s="226"/>
      <c r="E24" s="268"/>
    </row>
    <row r="25" spans="1:15" ht="15.6" customHeight="1" x14ac:dyDescent="0.3">
      <c r="B25" s="225" t="s">
        <v>705</v>
      </c>
      <c r="C25" s="226"/>
      <c r="D25" s="224"/>
      <c r="E25" s="268"/>
    </row>
    <row r="26" spans="1:15" ht="15.6" customHeight="1" x14ac:dyDescent="0.3">
      <c r="B26" s="227" t="s">
        <v>380</v>
      </c>
      <c r="C26" s="228"/>
      <c r="D26" s="229"/>
      <c r="E26" s="234"/>
    </row>
    <row r="27" spans="1:15" ht="15.6" customHeight="1" x14ac:dyDescent="0.3">
      <c r="B27" s="225" t="s">
        <v>756</v>
      </c>
      <c r="C27" s="226"/>
      <c r="D27" s="226"/>
      <c r="E27" s="269"/>
    </row>
    <row r="28" spans="1:15" ht="15.6" customHeight="1" x14ac:dyDescent="0.3">
      <c r="B28" s="230" t="s">
        <v>741</v>
      </c>
      <c r="E28" s="269"/>
    </row>
    <row r="29" spans="1:15" ht="15.6" customHeight="1" x14ac:dyDescent="0.3">
      <c r="B29" s="225" t="s">
        <v>742</v>
      </c>
      <c r="C29" s="226"/>
      <c r="D29" s="226"/>
      <c r="E29" s="269"/>
    </row>
    <row r="30" spans="1:15" ht="15.6" customHeight="1" x14ac:dyDescent="0.3"/>
    <row r="31" spans="1:15" ht="15.6" customHeight="1" x14ac:dyDescent="0.3"/>
    <row r="32" spans="1:15" ht="15.6" customHeight="1" x14ac:dyDescent="0.3">
      <c r="A32" s="338" t="s">
        <v>159</v>
      </c>
      <c r="B32" s="339"/>
      <c r="C32" s="339"/>
      <c r="D32" s="339"/>
      <c r="E32" s="339"/>
      <c r="F32" s="340"/>
    </row>
    <row r="33" spans="1:6" ht="15.6" customHeight="1" x14ac:dyDescent="0.3"/>
    <row r="34" spans="1:6" ht="15.6" customHeight="1" x14ac:dyDescent="0.3">
      <c r="A34" s="404" t="s">
        <v>157</v>
      </c>
      <c r="B34" s="405"/>
      <c r="C34" s="404" t="s">
        <v>158</v>
      </c>
      <c r="D34" s="405"/>
      <c r="E34" s="406"/>
      <c r="F34" s="125" t="s">
        <v>162</v>
      </c>
    </row>
    <row r="35" spans="1:6" ht="15.6" customHeight="1" x14ac:dyDescent="0.3">
      <c r="A35" s="410"/>
      <c r="B35" s="411"/>
      <c r="C35" s="407"/>
      <c r="D35" s="408"/>
      <c r="E35" s="409"/>
      <c r="F35" s="235"/>
    </row>
    <row r="36" spans="1:6" ht="15.6" customHeight="1" x14ac:dyDescent="0.3">
      <c r="A36" s="410"/>
      <c r="B36" s="411"/>
      <c r="C36" s="407"/>
      <c r="D36" s="408"/>
      <c r="E36" s="409"/>
      <c r="F36" s="235"/>
    </row>
    <row r="37" spans="1:6" ht="15.6" customHeight="1" x14ac:dyDescent="0.3">
      <c r="A37" s="410" t="s">
        <v>156</v>
      </c>
      <c r="B37" s="411"/>
      <c r="C37" s="407"/>
      <c r="D37" s="408"/>
      <c r="E37" s="409"/>
      <c r="F37" s="235"/>
    </row>
    <row r="38" spans="1:6" ht="15.6" customHeight="1" x14ac:dyDescent="0.3">
      <c r="A38" s="231"/>
      <c r="B38" s="231"/>
      <c r="C38" s="232"/>
      <c r="D38" s="232"/>
      <c r="E38" s="232"/>
      <c r="F38" s="231"/>
    </row>
    <row r="39" spans="1:6" ht="15.6" customHeight="1" x14ac:dyDescent="0.3">
      <c r="B39" s="1" t="s">
        <v>156</v>
      </c>
    </row>
    <row r="40" spans="1:6" ht="31.2" customHeight="1" x14ac:dyDescent="0.3">
      <c r="A40" s="338" t="s">
        <v>734</v>
      </c>
      <c r="B40" s="339"/>
      <c r="C40" s="339"/>
      <c r="D40" s="339"/>
      <c r="E40" s="339"/>
      <c r="F40" s="340"/>
    </row>
    <row r="41" spans="1:6" ht="62.4" customHeight="1" x14ac:dyDescent="0.3">
      <c r="A41" s="335"/>
      <c r="B41" s="336"/>
      <c r="C41" s="336"/>
      <c r="D41" s="336"/>
      <c r="E41" s="336"/>
      <c r="F41" s="337"/>
    </row>
    <row r="42" spans="1:6" x14ac:dyDescent="0.3">
      <c r="A42" s="233"/>
      <c r="B42" s="233"/>
      <c r="C42" s="233"/>
      <c r="D42" s="233"/>
      <c r="E42" s="233"/>
      <c r="F42" s="233"/>
    </row>
    <row r="43" spans="1:6" ht="58.8" customHeight="1" x14ac:dyDescent="0.3">
      <c r="A43" s="233"/>
      <c r="B43" s="233"/>
      <c r="C43" s="233"/>
      <c r="D43" s="233"/>
      <c r="E43" s="233"/>
      <c r="F43" s="233"/>
    </row>
    <row r="44" spans="1:6" x14ac:dyDescent="0.3">
      <c r="B44" s="1" t="s">
        <v>156</v>
      </c>
    </row>
    <row r="45" spans="1:6" ht="31.2" customHeight="1" x14ac:dyDescent="0.3">
      <c r="A45" s="338" t="s">
        <v>386</v>
      </c>
      <c r="B45" s="339"/>
      <c r="C45" s="339"/>
      <c r="D45" s="339"/>
      <c r="E45" s="339"/>
      <c r="F45" s="340"/>
    </row>
    <row r="46" spans="1:6" ht="46.8" customHeight="1" x14ac:dyDescent="0.3">
      <c r="A46" s="335"/>
      <c r="B46" s="336"/>
      <c r="C46" s="336"/>
      <c r="D46" s="336"/>
      <c r="E46" s="336"/>
      <c r="F46" s="337"/>
    </row>
    <row r="47" spans="1:6" ht="31.2" customHeight="1" x14ac:dyDescent="0.3">
      <c r="A47" s="338" t="s">
        <v>735</v>
      </c>
      <c r="B47" s="339"/>
      <c r="C47" s="339"/>
      <c r="D47" s="339"/>
      <c r="E47" s="339"/>
      <c r="F47" s="340"/>
    </row>
    <row r="48" spans="1:6" ht="46.8" customHeight="1" x14ac:dyDescent="0.3">
      <c r="A48" s="335"/>
      <c r="B48" s="336"/>
      <c r="C48" s="336"/>
      <c r="D48" s="336"/>
      <c r="E48" s="336"/>
      <c r="F48" s="337"/>
    </row>
    <row r="49" spans="1:6" ht="15.6" customHeight="1" x14ac:dyDescent="0.3">
      <c r="A49" s="404" t="s">
        <v>381</v>
      </c>
      <c r="B49" s="406"/>
      <c r="C49" s="125" t="s">
        <v>382</v>
      </c>
      <c r="D49" s="125" t="s">
        <v>383</v>
      </c>
      <c r="E49" s="125" t="s">
        <v>384</v>
      </c>
      <c r="F49" s="125" t="s">
        <v>385</v>
      </c>
    </row>
    <row r="50" spans="1:6" ht="31.2" customHeight="1" x14ac:dyDescent="0.3">
      <c r="A50" s="318"/>
      <c r="B50" s="320"/>
      <c r="C50" s="119"/>
      <c r="D50" s="236"/>
      <c r="E50" s="119"/>
      <c r="F50" s="119"/>
    </row>
    <row r="51" spans="1:6" ht="31.2" customHeight="1" x14ac:dyDescent="0.3">
      <c r="A51" s="318"/>
      <c r="B51" s="320"/>
      <c r="C51" s="119"/>
      <c r="D51" s="119"/>
      <c r="E51" s="119"/>
      <c r="F51" s="119"/>
    </row>
    <row r="52" spans="1:6" ht="31.2" customHeight="1" x14ac:dyDescent="0.3">
      <c r="A52" s="318"/>
      <c r="B52" s="320"/>
      <c r="C52" s="119"/>
      <c r="D52" s="119"/>
      <c r="E52" s="119"/>
      <c r="F52" s="119"/>
    </row>
    <row r="53" spans="1:6" ht="15.6" customHeight="1" x14ac:dyDescent="0.3">
      <c r="B53" s="1" t="s">
        <v>156</v>
      </c>
    </row>
    <row r="54" spans="1:6" ht="15.6" customHeight="1" x14ac:dyDescent="0.3">
      <c r="C54" s="2" t="s">
        <v>430</v>
      </c>
    </row>
    <row r="55" spans="1:6" ht="15.6" customHeight="1" x14ac:dyDescent="0.3">
      <c r="B55" s="1" t="s">
        <v>156</v>
      </c>
    </row>
    <row r="56" spans="1:6" ht="15.6" customHeight="1" x14ac:dyDescent="0.3">
      <c r="B56" s="1" t="s">
        <v>156</v>
      </c>
    </row>
    <row r="57" spans="1:6" ht="15.6" customHeight="1" x14ac:dyDescent="0.3">
      <c r="B57" s="1" t="s">
        <v>156</v>
      </c>
    </row>
    <row r="58" spans="1:6" ht="15.6" customHeight="1" x14ac:dyDescent="0.3"/>
    <row r="59" spans="1:6" ht="15.6" customHeight="1" x14ac:dyDescent="0.3"/>
    <row r="60" spans="1:6" ht="15.6" customHeight="1" x14ac:dyDescent="0.3"/>
    <row r="61" spans="1:6" ht="15.6" customHeight="1" x14ac:dyDescent="0.3"/>
    <row r="62" spans="1:6" ht="15.6" customHeight="1" x14ac:dyDescent="0.3">
      <c r="B62" s="1" t="s">
        <v>156</v>
      </c>
    </row>
    <row r="63" spans="1:6" ht="15.6" customHeight="1" x14ac:dyDescent="0.3"/>
  </sheetData>
  <sheetProtection algorithmName="SHA-512" hashValue="xW31v+N/VDdFew30HtECeWJb3Eqgbjhqsl/FNIpvkepIt/cLxK3cyYRTFO8F9xX3JjPex1UfUlJzLiRQBIetgA==" saltValue="gpjVe4FBGMr2mEno76r3lA==" spinCount="100000" sheet="1" objects="1" scenarios="1" selectLockedCells="1"/>
  <mergeCells count="28">
    <mergeCell ref="A52:B52"/>
    <mergeCell ref="A49:B49"/>
    <mergeCell ref="A50:B50"/>
    <mergeCell ref="A51:B51"/>
    <mergeCell ref="A5:F5"/>
    <mergeCell ref="A7:F7"/>
    <mergeCell ref="A18:F18"/>
    <mergeCell ref="A40:F40"/>
    <mergeCell ref="A41:F41"/>
    <mergeCell ref="B11:C11"/>
    <mergeCell ref="A14:F14"/>
    <mergeCell ref="A15:F15"/>
    <mergeCell ref="B10:D10"/>
    <mergeCell ref="A32:F32"/>
    <mergeCell ref="A21:F21"/>
    <mergeCell ref="B23:C23"/>
    <mergeCell ref="A45:F45"/>
    <mergeCell ref="A46:F46"/>
    <mergeCell ref="A47:F47"/>
    <mergeCell ref="A48:F48"/>
    <mergeCell ref="C34:E34"/>
    <mergeCell ref="C35:E35"/>
    <mergeCell ref="C36:E36"/>
    <mergeCell ref="C37:E37"/>
    <mergeCell ref="A34:B34"/>
    <mergeCell ref="A35:B35"/>
    <mergeCell ref="A36:B36"/>
    <mergeCell ref="A37:B37"/>
  </mergeCells>
  <pageMargins left="0.59055118110236227" right="0.59055118110236227" top="0.59055118110236227" bottom="0.59055118110236227" header="0.31496062992125984" footer="0.31496062992125984"/>
  <pageSetup paperSize="9" scale="81" fitToHeight="0" orientation="portrait" horizontalDpi="1200" verticalDpi="1200" r:id="rId1"/>
  <headerFooter>
    <oddFooter>&amp;L&amp;A&amp;C&amp;P de &amp;N&amp;R&amp;D&amp;T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1A8A-68B4-4309-8E2C-3D6DE2A75D03}">
  <sheetPr codeName="Hoja9">
    <tabColor theme="9" tint="0.59999389629810485"/>
    <pageSetUpPr fitToPage="1"/>
  </sheetPr>
  <dimension ref="A1:E118"/>
  <sheetViews>
    <sheetView showGridLines="0" zoomScaleNormal="100" workbookViewId="0">
      <selection activeCell="C18" sqref="C18"/>
    </sheetView>
  </sheetViews>
  <sheetFormatPr baseColWidth="10" defaultRowHeight="13.8" x14ac:dyDescent="0.25"/>
  <cols>
    <col min="1" max="1" width="19" style="14" customWidth="1"/>
    <col min="2" max="2" width="83.5546875" style="14" customWidth="1"/>
    <col min="3" max="3" width="8.44140625" style="14" customWidth="1"/>
    <col min="4" max="16384" width="11.5546875" style="14"/>
  </cols>
  <sheetData>
    <row r="1" spans="1:3" s="1" customFormat="1" ht="15.6" customHeight="1" x14ac:dyDescent="0.3"/>
    <row r="2" spans="1:3" s="1" customFormat="1" ht="15.6" customHeight="1" x14ac:dyDescent="0.3"/>
    <row r="3" spans="1:3" s="1" customFormat="1" ht="15.6" customHeight="1" x14ac:dyDescent="0.3"/>
    <row r="4" spans="1:3" s="1" customFormat="1" ht="15.6" customHeight="1" x14ac:dyDescent="0.3"/>
    <row r="5" spans="1:3" s="1" customFormat="1" ht="15.6" customHeight="1" x14ac:dyDescent="0.3"/>
    <row r="6" spans="1:3" s="1" customFormat="1" ht="15.6" customHeight="1" x14ac:dyDescent="0.3">
      <c r="A6" s="331" t="str">
        <f>"Microcredencial Universitaria en "&amp;TítuloMU</f>
        <v xml:space="preserve">Microcredencial Universitaria en </v>
      </c>
      <c r="B6" s="331"/>
      <c r="C6" s="331"/>
    </row>
    <row r="7" spans="1:3" s="1" customFormat="1" ht="15.6" customHeight="1" x14ac:dyDescent="0.3">
      <c r="A7" s="3"/>
      <c r="B7" s="3"/>
      <c r="C7" s="3"/>
    </row>
    <row r="8" spans="1:3" s="1" customFormat="1" ht="15.6" customHeight="1" x14ac:dyDescent="0.3">
      <c r="A8" s="279" t="s">
        <v>293</v>
      </c>
      <c r="B8" s="279"/>
      <c r="C8" s="279"/>
    </row>
    <row r="9" spans="1:3" s="1" customFormat="1" ht="46.8" customHeight="1" x14ac:dyDescent="0.3">
      <c r="A9" s="421" t="s">
        <v>99</v>
      </c>
      <c r="B9" s="421"/>
      <c r="C9" s="421"/>
    </row>
    <row r="10" spans="1:3" ht="15.6" customHeight="1" x14ac:dyDescent="0.25"/>
    <row r="11" spans="1:3" ht="15.6" customHeight="1" x14ac:dyDescent="0.25">
      <c r="A11" s="394" t="s">
        <v>294</v>
      </c>
      <c r="B11" s="395"/>
      <c r="C11" s="396"/>
    </row>
    <row r="12" spans="1:3" ht="15.6" customHeight="1" x14ac:dyDescent="0.25">
      <c r="A12" s="425" t="s">
        <v>295</v>
      </c>
      <c r="B12" s="426"/>
      <c r="C12" s="427"/>
    </row>
    <row r="13" spans="1:3" ht="15.6" customHeight="1" x14ac:dyDescent="0.25">
      <c r="A13" s="428" t="s">
        <v>373</v>
      </c>
      <c r="B13" s="429"/>
      <c r="C13" s="430"/>
    </row>
    <row r="14" spans="1:3" ht="15.6" customHeight="1" x14ac:dyDescent="0.25"/>
    <row r="15" spans="1:3" ht="15.6" customHeight="1" x14ac:dyDescent="0.25"/>
    <row r="16" spans="1:3" ht="15.6" customHeight="1" x14ac:dyDescent="0.25">
      <c r="A16" s="431" t="s">
        <v>296</v>
      </c>
      <c r="B16" s="432"/>
      <c r="C16" s="433"/>
    </row>
    <row r="17" spans="1:3" ht="15.6" customHeight="1" x14ac:dyDescent="0.25"/>
    <row r="18" spans="1:3" s="244" customFormat="1" ht="27.6" customHeight="1" x14ac:dyDescent="0.3">
      <c r="A18" s="434" t="s">
        <v>391</v>
      </c>
      <c r="B18" s="434"/>
      <c r="C18" s="237"/>
    </row>
    <row r="19" spans="1:3" x14ac:dyDescent="0.25">
      <c r="A19" s="420" t="s">
        <v>392</v>
      </c>
      <c r="B19" s="420"/>
      <c r="C19" s="237"/>
    </row>
    <row r="20" spans="1:3" x14ac:dyDescent="0.25">
      <c r="A20" s="420" t="s">
        <v>388</v>
      </c>
      <c r="B20" s="420"/>
      <c r="C20" s="237"/>
    </row>
    <row r="21" spans="1:3" ht="27.6" customHeight="1" x14ac:dyDescent="0.25">
      <c r="A21" s="420" t="s">
        <v>393</v>
      </c>
      <c r="B21" s="420"/>
      <c r="C21" s="237"/>
    </row>
    <row r="22" spans="1:3" x14ac:dyDescent="0.25">
      <c r="A22" s="420" t="s">
        <v>389</v>
      </c>
      <c r="B22" s="420"/>
      <c r="C22" s="237"/>
    </row>
    <row r="23" spans="1:3" x14ac:dyDescent="0.25">
      <c r="A23" s="420" t="s">
        <v>408</v>
      </c>
      <c r="B23" s="420"/>
      <c r="C23" s="237"/>
    </row>
    <row r="24" spans="1:3" x14ac:dyDescent="0.25">
      <c r="A24" s="420" t="s">
        <v>390</v>
      </c>
      <c r="B24" s="420"/>
      <c r="C24" s="237"/>
    </row>
    <row r="25" spans="1:3" x14ac:dyDescent="0.25">
      <c r="A25" s="420" t="s">
        <v>394</v>
      </c>
      <c r="B25" s="420"/>
      <c r="C25" s="237"/>
    </row>
    <row r="26" spans="1:3" x14ac:dyDescent="0.25">
      <c r="A26" s="420" t="s">
        <v>689</v>
      </c>
      <c r="B26" s="420"/>
      <c r="C26" s="237"/>
    </row>
    <row r="27" spans="1:3" x14ac:dyDescent="0.25">
      <c r="A27" s="420" t="s">
        <v>690</v>
      </c>
      <c r="B27" s="420"/>
      <c r="C27" s="237"/>
    </row>
    <row r="29" spans="1:3" ht="41.4" customHeight="1" x14ac:dyDescent="0.25">
      <c r="A29" s="36" t="s">
        <v>297</v>
      </c>
      <c r="B29" s="422" t="s">
        <v>299</v>
      </c>
      <c r="C29" s="422"/>
    </row>
    <row r="30" spans="1:3" ht="69" customHeight="1" x14ac:dyDescent="0.25">
      <c r="A30" s="36" t="s">
        <v>298</v>
      </c>
      <c r="B30" s="423" t="s">
        <v>374</v>
      </c>
      <c r="C30" s="424"/>
    </row>
    <row r="31" spans="1:3" x14ac:dyDescent="0.25">
      <c r="A31" s="38"/>
      <c r="B31" s="39"/>
      <c r="C31" s="39"/>
    </row>
    <row r="33" spans="1:3" ht="15.6" x14ac:dyDescent="0.25">
      <c r="A33" s="431" t="s">
        <v>301</v>
      </c>
      <c r="B33" s="432"/>
      <c r="C33" s="433"/>
    </row>
    <row r="35" spans="1:3" x14ac:dyDescent="0.25">
      <c r="A35" s="420" t="s">
        <v>410</v>
      </c>
      <c r="B35" s="420"/>
      <c r="C35" s="237"/>
    </row>
    <row r="36" spans="1:3" x14ac:dyDescent="0.25">
      <c r="A36" s="420" t="s">
        <v>411</v>
      </c>
      <c r="B36" s="420"/>
      <c r="C36" s="237"/>
    </row>
    <row r="37" spans="1:3" x14ac:dyDescent="0.25">
      <c r="A37" s="420" t="s">
        <v>412</v>
      </c>
      <c r="B37" s="420"/>
      <c r="C37" s="237"/>
    </row>
    <row r="38" spans="1:3" x14ac:dyDescent="0.25">
      <c r="A38" s="420" t="s">
        <v>413</v>
      </c>
      <c r="B38" s="420"/>
      <c r="C38" s="237"/>
    </row>
    <row r="39" spans="1:3" x14ac:dyDescent="0.25">
      <c r="A39" s="420" t="s">
        <v>414</v>
      </c>
      <c r="B39" s="420"/>
      <c r="C39" s="237"/>
    </row>
    <row r="40" spans="1:3" x14ac:dyDescent="0.25">
      <c r="A40" s="420" t="s">
        <v>409</v>
      </c>
      <c r="B40" s="420"/>
      <c r="C40" s="237"/>
    </row>
    <row r="42" spans="1:3" ht="41.4" customHeight="1" x14ac:dyDescent="0.25">
      <c r="A42" s="36" t="s">
        <v>302</v>
      </c>
      <c r="B42" s="422" t="s">
        <v>299</v>
      </c>
      <c r="C42" s="422"/>
    </row>
    <row r="43" spans="1:3" ht="69" customHeight="1" x14ac:dyDescent="0.25">
      <c r="A43" s="36" t="s">
        <v>303</v>
      </c>
      <c r="B43" s="423" t="s">
        <v>687</v>
      </c>
      <c r="C43" s="424"/>
    </row>
    <row r="44" spans="1:3" x14ac:dyDescent="0.25">
      <c r="A44" s="38"/>
      <c r="B44" s="39"/>
      <c r="C44" s="39"/>
    </row>
    <row r="46" spans="1:3" ht="15.6" x14ac:dyDescent="0.25">
      <c r="A46" s="431" t="s">
        <v>304</v>
      </c>
      <c r="B46" s="432"/>
      <c r="C46" s="433"/>
    </row>
    <row r="48" spans="1:3" x14ac:dyDescent="0.25">
      <c r="A48" s="420" t="s">
        <v>415</v>
      </c>
      <c r="B48" s="420"/>
      <c r="C48" s="237"/>
    </row>
    <row r="49" spans="1:3" x14ac:dyDescent="0.25">
      <c r="A49" s="420" t="s">
        <v>416</v>
      </c>
      <c r="B49" s="420"/>
      <c r="C49" s="237"/>
    </row>
    <row r="50" spans="1:3" ht="27.6" customHeight="1" x14ac:dyDescent="0.25">
      <c r="A50" s="420" t="s">
        <v>417</v>
      </c>
      <c r="B50" s="420"/>
      <c r="C50" s="237"/>
    </row>
    <row r="51" spans="1:3" x14ac:dyDescent="0.25">
      <c r="A51" s="420" t="s">
        <v>418</v>
      </c>
      <c r="B51" s="420"/>
      <c r="C51" s="237"/>
    </row>
    <row r="52" spans="1:3" x14ac:dyDescent="0.25">
      <c r="A52" s="420" t="s">
        <v>429</v>
      </c>
      <c r="B52" s="420"/>
      <c r="C52" s="237"/>
    </row>
    <row r="53" spans="1:3" ht="27.6" customHeight="1" x14ac:dyDescent="0.25">
      <c r="A53" s="420" t="s">
        <v>431</v>
      </c>
      <c r="B53" s="420"/>
      <c r="C53" s="237"/>
    </row>
    <row r="55" spans="1:3" ht="41.4" customHeight="1" x14ac:dyDescent="0.25">
      <c r="A55" s="36" t="s">
        <v>305</v>
      </c>
      <c r="B55" s="422" t="s">
        <v>299</v>
      </c>
      <c r="C55" s="422"/>
    </row>
    <row r="56" spans="1:3" ht="69" customHeight="1" x14ac:dyDescent="0.25">
      <c r="A56" s="36" t="s">
        <v>306</v>
      </c>
      <c r="B56" s="423" t="s">
        <v>375</v>
      </c>
      <c r="C56" s="424"/>
    </row>
    <row r="57" spans="1:3" x14ac:dyDescent="0.25">
      <c r="A57" s="38"/>
      <c r="B57" s="39"/>
      <c r="C57" s="39"/>
    </row>
    <row r="59" spans="1:3" ht="15.6" x14ac:dyDescent="0.25">
      <c r="A59" s="431" t="s">
        <v>307</v>
      </c>
      <c r="B59" s="432"/>
      <c r="C59" s="433"/>
    </row>
    <row r="61" spans="1:3" ht="27.6" customHeight="1" x14ac:dyDescent="0.25">
      <c r="A61" s="420" t="s">
        <v>419</v>
      </c>
      <c r="B61" s="420"/>
      <c r="C61" s="237"/>
    </row>
    <row r="62" spans="1:3" ht="27.6" customHeight="1" x14ac:dyDescent="0.25">
      <c r="A62" s="420" t="s">
        <v>688</v>
      </c>
      <c r="B62" s="420"/>
      <c r="C62" s="237"/>
    </row>
    <row r="63" spans="1:3" ht="27.6" customHeight="1" x14ac:dyDescent="0.25">
      <c r="A63" s="420" t="s">
        <v>420</v>
      </c>
      <c r="B63" s="420"/>
      <c r="C63" s="237"/>
    </row>
    <row r="64" spans="1:3" x14ac:dyDescent="0.25">
      <c r="A64" s="420" t="s">
        <v>421</v>
      </c>
      <c r="B64" s="420"/>
      <c r="C64" s="237"/>
    </row>
    <row r="66" spans="1:3" ht="41.4" customHeight="1" x14ac:dyDescent="0.25">
      <c r="A66" s="36" t="s">
        <v>308</v>
      </c>
      <c r="B66" s="422" t="s">
        <v>299</v>
      </c>
      <c r="C66" s="422"/>
    </row>
    <row r="67" spans="1:3" ht="69" customHeight="1" x14ac:dyDescent="0.25">
      <c r="A67" s="36" t="s">
        <v>309</v>
      </c>
      <c r="B67" s="423" t="s">
        <v>422</v>
      </c>
      <c r="C67" s="424"/>
    </row>
    <row r="68" spans="1:3" x14ac:dyDescent="0.25">
      <c r="A68" s="38"/>
      <c r="B68" s="39"/>
      <c r="C68" s="39"/>
    </row>
    <row r="70" spans="1:3" ht="15.6" x14ac:dyDescent="0.25">
      <c r="A70" s="431" t="s">
        <v>310</v>
      </c>
      <c r="B70" s="432"/>
      <c r="C70" s="433"/>
    </row>
    <row r="72" spans="1:3" ht="27.6" customHeight="1" x14ac:dyDescent="0.25">
      <c r="A72" s="420" t="s">
        <v>424</v>
      </c>
      <c r="B72" s="420"/>
      <c r="C72" s="237"/>
    </row>
    <row r="73" spans="1:3" x14ac:dyDescent="0.25">
      <c r="A73" s="420" t="s">
        <v>423</v>
      </c>
      <c r="B73" s="420"/>
      <c r="C73" s="237"/>
    </row>
    <row r="74" spans="1:3" ht="27.6" customHeight="1" x14ac:dyDescent="0.25">
      <c r="A74" s="420" t="s">
        <v>425</v>
      </c>
      <c r="B74" s="420"/>
      <c r="C74" s="237"/>
    </row>
    <row r="75" spans="1:3" x14ac:dyDescent="0.25">
      <c r="A75" s="420" t="s">
        <v>426</v>
      </c>
      <c r="B75" s="420"/>
      <c r="C75" s="237"/>
    </row>
    <row r="77" spans="1:3" ht="41.4" customHeight="1" x14ac:dyDescent="0.25">
      <c r="A77" s="36" t="s">
        <v>311</v>
      </c>
      <c r="B77" s="422" t="s">
        <v>299</v>
      </c>
      <c r="C77" s="422"/>
    </row>
    <row r="78" spans="1:3" ht="69" customHeight="1" x14ac:dyDescent="0.25">
      <c r="A78" s="36" t="s">
        <v>312</v>
      </c>
      <c r="B78" s="423" t="s">
        <v>376</v>
      </c>
      <c r="C78" s="424"/>
    </row>
    <row r="79" spans="1:3" x14ac:dyDescent="0.25">
      <c r="A79" s="38"/>
      <c r="B79" s="39"/>
      <c r="C79" s="39"/>
    </row>
    <row r="80" spans="1:3" x14ac:dyDescent="0.25">
      <c r="A80" s="38"/>
      <c r="B80" s="39"/>
      <c r="C80" s="39"/>
    </row>
    <row r="82" spans="1:3" ht="15.6" x14ac:dyDescent="0.25">
      <c r="A82" s="431" t="s">
        <v>313</v>
      </c>
      <c r="B82" s="432"/>
      <c r="C82" s="433"/>
    </row>
    <row r="84" spans="1:3" ht="27.6" customHeight="1" x14ac:dyDescent="0.25">
      <c r="A84" s="420" t="s">
        <v>427</v>
      </c>
      <c r="B84" s="420"/>
      <c r="C84" s="237"/>
    </row>
    <row r="85" spans="1:3" ht="41.4" customHeight="1" x14ac:dyDescent="0.25">
      <c r="A85" s="420" t="s">
        <v>428</v>
      </c>
      <c r="B85" s="420"/>
      <c r="C85" s="237"/>
    </row>
    <row r="87" spans="1:3" ht="41.4" customHeight="1" x14ac:dyDescent="0.25">
      <c r="A87" s="36" t="s">
        <v>315</v>
      </c>
      <c r="B87" s="422" t="s">
        <v>299</v>
      </c>
      <c r="C87" s="422"/>
    </row>
    <row r="88" spans="1:3" ht="69" customHeight="1" x14ac:dyDescent="0.25">
      <c r="A88" s="36" t="s">
        <v>316</v>
      </c>
      <c r="B88" s="423" t="s">
        <v>377</v>
      </c>
      <c r="C88" s="424"/>
    </row>
    <row r="89" spans="1:3" x14ac:dyDescent="0.25">
      <c r="A89" s="38"/>
      <c r="B89" s="39"/>
      <c r="C89" s="39"/>
    </row>
    <row r="91" spans="1:3" ht="15.6" x14ac:dyDescent="0.25">
      <c r="A91" s="431" t="s">
        <v>314</v>
      </c>
      <c r="B91" s="432"/>
      <c r="C91" s="433"/>
    </row>
    <row r="93" spans="1:3" x14ac:dyDescent="0.25">
      <c r="A93" s="420" t="s">
        <v>406</v>
      </c>
      <c r="B93" s="420"/>
      <c r="C93" s="237"/>
    </row>
    <row r="94" spans="1:3" x14ac:dyDescent="0.25">
      <c r="A94" s="420" t="s">
        <v>404</v>
      </c>
      <c r="B94" s="420"/>
      <c r="C94" s="237" t="s">
        <v>300</v>
      </c>
    </row>
    <row r="95" spans="1:3" x14ac:dyDescent="0.25">
      <c r="A95" s="420" t="s">
        <v>405</v>
      </c>
      <c r="B95" s="420"/>
      <c r="C95" s="237"/>
    </row>
    <row r="96" spans="1:3" ht="41.4" customHeight="1" x14ac:dyDescent="0.25">
      <c r="A96" s="435" t="s">
        <v>407</v>
      </c>
      <c r="B96" s="435"/>
      <c r="C96" s="237" t="s">
        <v>300</v>
      </c>
    </row>
    <row r="98" spans="1:5" ht="41.4" customHeight="1" x14ac:dyDescent="0.25">
      <c r="A98" s="36" t="s">
        <v>317</v>
      </c>
      <c r="B98" s="422" t="s">
        <v>299</v>
      </c>
      <c r="C98" s="422"/>
    </row>
    <row r="99" spans="1:5" ht="69" customHeight="1" x14ac:dyDescent="0.25">
      <c r="A99" s="36" t="s">
        <v>318</v>
      </c>
      <c r="B99" s="423" t="s">
        <v>378</v>
      </c>
      <c r="C99" s="424"/>
    </row>
    <row r="100" spans="1:5" x14ac:dyDescent="0.25">
      <c r="A100" s="38"/>
      <c r="B100" s="39"/>
      <c r="C100" s="39"/>
    </row>
    <row r="102" spans="1:5" ht="15.6" x14ac:dyDescent="0.25">
      <c r="A102" s="431" t="s">
        <v>396</v>
      </c>
      <c r="B102" s="432"/>
      <c r="C102" s="433"/>
    </row>
    <row r="104" spans="1:5" x14ac:dyDescent="0.25">
      <c r="A104" s="420" t="s">
        <v>398</v>
      </c>
      <c r="B104" s="420"/>
      <c r="C104" s="237"/>
    </row>
    <row r="105" spans="1:5" x14ac:dyDescent="0.25">
      <c r="A105" s="420" t="s">
        <v>399</v>
      </c>
      <c r="B105" s="420"/>
      <c r="C105" s="237"/>
    </row>
    <row r="106" spans="1:5" x14ac:dyDescent="0.25">
      <c r="A106" s="420" t="s">
        <v>400</v>
      </c>
      <c r="B106" s="420"/>
      <c r="C106" s="237"/>
    </row>
    <row r="108" spans="1:5" ht="41.4" customHeight="1" x14ac:dyDescent="0.25">
      <c r="A108" s="36" t="s">
        <v>401</v>
      </c>
      <c r="B108" s="422" t="s">
        <v>299</v>
      </c>
      <c r="C108" s="422"/>
    </row>
    <row r="109" spans="1:5" ht="69" customHeight="1" x14ac:dyDescent="0.25">
      <c r="A109" s="36" t="s">
        <v>402</v>
      </c>
      <c r="B109" s="423" t="s">
        <v>403</v>
      </c>
      <c r="C109" s="424"/>
    </row>
    <row r="111" spans="1:5" ht="15.6" x14ac:dyDescent="0.25">
      <c r="B111" s="2" t="s">
        <v>430</v>
      </c>
      <c r="C111" s="2"/>
      <c r="D111" s="2"/>
      <c r="E111" s="2"/>
    </row>
    <row r="112" spans="1:5" ht="15.6" x14ac:dyDescent="0.3">
      <c r="A112" s="1"/>
      <c r="B112" s="1"/>
      <c r="C112" s="1"/>
      <c r="D112" s="1"/>
      <c r="E112" s="1"/>
    </row>
    <row r="113" spans="1:5" ht="15.6" x14ac:dyDescent="0.3">
      <c r="A113" s="1"/>
      <c r="B113" s="1"/>
      <c r="C113" s="1"/>
      <c r="D113" s="1"/>
      <c r="E113" s="1"/>
    </row>
    <row r="114" spans="1:5" ht="15.6" x14ac:dyDescent="0.3">
      <c r="A114" s="1"/>
      <c r="B114" s="1"/>
      <c r="C114" s="1"/>
      <c r="D114" s="1"/>
      <c r="E114" s="1"/>
    </row>
    <row r="115" spans="1:5" ht="15.6" x14ac:dyDescent="0.3">
      <c r="A115" s="1"/>
      <c r="B115" s="1"/>
      <c r="C115" s="1"/>
      <c r="D115" s="1"/>
      <c r="E115" s="1"/>
    </row>
    <row r="116" spans="1:5" ht="15.6" x14ac:dyDescent="0.3">
      <c r="A116" s="1"/>
      <c r="B116" s="1"/>
      <c r="C116" s="1"/>
      <c r="D116" s="1"/>
      <c r="E116" s="1"/>
    </row>
    <row r="117" spans="1:5" x14ac:dyDescent="0.25">
      <c r="A117" s="37"/>
    </row>
    <row r="118" spans="1:5" x14ac:dyDescent="0.25">
      <c r="A118" s="37"/>
    </row>
  </sheetData>
  <sheetProtection algorithmName="SHA-512" hashValue="H2b3pCNOJfBPfWano5s6hSaPu0rEFoPVeK+jItDoQHnk/Qs2c5Q1hz64NhVIuosdS9WaW5TrKZ/kQ5PQtmhI6A==" saltValue="LDI4ncu5lP+HJPdYlf9Sww==" spinCount="100000" sheet="1" objects="1" scenarios="1" selectLockedCells="1"/>
  <mergeCells count="69">
    <mergeCell ref="B109:C109"/>
    <mergeCell ref="A95:B95"/>
    <mergeCell ref="A49:B49"/>
    <mergeCell ref="A52:B52"/>
    <mergeCell ref="A51:B51"/>
    <mergeCell ref="A62:B62"/>
    <mergeCell ref="A63:B63"/>
    <mergeCell ref="A74:B74"/>
    <mergeCell ref="B108:C108"/>
    <mergeCell ref="B67:C67"/>
    <mergeCell ref="A72:B72"/>
    <mergeCell ref="A73:B73"/>
    <mergeCell ref="A75:B75"/>
    <mergeCell ref="B77:C77"/>
    <mergeCell ref="B78:C78"/>
    <mergeCell ref="A70:C70"/>
    <mergeCell ref="A104:B104"/>
    <mergeCell ref="A105:B105"/>
    <mergeCell ref="A106:B106"/>
    <mergeCell ref="A91:C91"/>
    <mergeCell ref="A93:B93"/>
    <mergeCell ref="A94:B94"/>
    <mergeCell ref="A96:B96"/>
    <mergeCell ref="B98:C98"/>
    <mergeCell ref="B99:C99"/>
    <mergeCell ref="A59:C59"/>
    <mergeCell ref="A61:B61"/>
    <mergeCell ref="A64:B64"/>
    <mergeCell ref="A24:B24"/>
    <mergeCell ref="A102:C102"/>
    <mergeCell ref="A82:C82"/>
    <mergeCell ref="A84:B84"/>
    <mergeCell ref="A85:B85"/>
    <mergeCell ref="B87:C87"/>
    <mergeCell ref="B88:C88"/>
    <mergeCell ref="B66:C66"/>
    <mergeCell ref="B42:C42"/>
    <mergeCell ref="B43:C43"/>
    <mergeCell ref="A33:C33"/>
    <mergeCell ref="A48:B48"/>
    <mergeCell ref="A50:B50"/>
    <mergeCell ref="A46:C46"/>
    <mergeCell ref="A35:B35"/>
    <mergeCell ref="A36:B36"/>
    <mergeCell ref="A37:B37"/>
    <mergeCell ref="A38:B38"/>
    <mergeCell ref="A39:B39"/>
    <mergeCell ref="A40:B40"/>
    <mergeCell ref="B55:C55"/>
    <mergeCell ref="B56:C56"/>
    <mergeCell ref="B30:C30"/>
    <mergeCell ref="A11:C11"/>
    <mergeCell ref="A12:C12"/>
    <mergeCell ref="A13:C13"/>
    <mergeCell ref="A16:C16"/>
    <mergeCell ref="A18:B18"/>
    <mergeCell ref="A25:B25"/>
    <mergeCell ref="A26:B26"/>
    <mergeCell ref="A21:B21"/>
    <mergeCell ref="A22:B22"/>
    <mergeCell ref="A23:B23"/>
    <mergeCell ref="A27:B27"/>
    <mergeCell ref="B29:C29"/>
    <mergeCell ref="A53:B53"/>
    <mergeCell ref="A6:C6"/>
    <mergeCell ref="A8:C8"/>
    <mergeCell ref="A19:B19"/>
    <mergeCell ref="A20:B20"/>
    <mergeCell ref="A9:C9"/>
  </mergeCells>
  <dataValidations count="1">
    <dataValidation type="list" allowBlank="1" showInputMessage="1" showErrorMessage="1" sqref="C93:C96 C35:C40 C61:C64 C48:C53 C84:C85 C104:C106 C72:C75 C18:C27" xr:uid="{D762FCB7-8E48-46F0-9572-39D1D87EC104}">
      <formula1>"A,B,C,No aplica"</formula1>
    </dataValidation>
  </dataValidations>
  <pageMargins left="0.59055118110236227" right="0.59055118110236227" top="0.59055118110236227" bottom="0.59055118110236227" header="0.31496062992125984" footer="0.31496062992125984"/>
  <pageSetup paperSize="9" scale="81" fitToHeight="0" orientation="portrait" horizontalDpi="0" verticalDpi="0" r:id="rId1"/>
  <headerFooter>
    <oddFooter>&amp;L&amp;A&amp;C&amp;P de &amp;N&amp;R&amp;D&amp;T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DC0E-4122-44D2-BCBF-846BECC7A759}">
  <sheetPr codeName="Hoja10">
    <tabColor rgb="FFFF0000"/>
    <pageSetUpPr fitToPage="1"/>
  </sheetPr>
  <dimension ref="A5:J68"/>
  <sheetViews>
    <sheetView showGridLines="0" zoomScaleNormal="100" workbookViewId="0">
      <selection activeCell="B24" sqref="B24:I24"/>
    </sheetView>
  </sheetViews>
  <sheetFormatPr baseColWidth="10" defaultColWidth="9.21875" defaultRowHeight="13.8" x14ac:dyDescent="0.25"/>
  <cols>
    <col min="1" max="1" width="2.77734375" style="14" customWidth="1"/>
    <col min="2" max="6" width="9.21875" style="14"/>
    <col min="7" max="8" width="9.21875" style="238"/>
    <col min="9" max="9" width="56.5546875" style="238" customWidth="1"/>
    <col min="10" max="10" width="2.44140625" style="238" customWidth="1"/>
    <col min="11" max="16384" width="9.21875" style="238"/>
  </cols>
  <sheetData>
    <row r="5" spans="1:10" ht="15.75" customHeight="1" thickBot="1" x14ac:dyDescent="0.3">
      <c r="A5" s="390"/>
      <c r="B5" s="390"/>
      <c r="C5" s="390"/>
      <c r="D5" s="390"/>
      <c r="E5" s="390"/>
      <c r="F5" s="390"/>
      <c r="G5" s="390"/>
      <c r="H5" s="390"/>
      <c r="I5" s="390"/>
      <c r="J5" s="390"/>
    </row>
    <row r="6" spans="1:10" ht="6.75" customHeight="1" x14ac:dyDescent="0.25">
      <c r="A6" s="438"/>
      <c r="B6" s="438"/>
      <c r="C6" s="438"/>
      <c r="D6" s="438"/>
      <c r="E6" s="438"/>
      <c r="F6" s="438"/>
      <c r="G6" s="239"/>
      <c r="H6" s="240"/>
    </row>
    <row r="7" spans="1:10" ht="15.6" x14ac:dyDescent="0.25">
      <c r="A7" s="279"/>
      <c r="B7" s="279"/>
      <c r="C7" s="279"/>
      <c r="D7" s="279"/>
      <c r="E7" s="279"/>
      <c r="F7" s="279"/>
      <c r="G7" s="279"/>
      <c r="H7" s="279"/>
      <c r="I7" s="279"/>
      <c r="J7" s="279"/>
    </row>
    <row r="8" spans="1:10" ht="86.25" customHeight="1" x14ac:dyDescent="0.25">
      <c r="A8" s="439" t="s">
        <v>370</v>
      </c>
      <c r="B8" s="439"/>
      <c r="C8" s="439"/>
      <c r="D8" s="439"/>
      <c r="E8" s="439"/>
      <c r="F8" s="439"/>
      <c r="G8" s="439"/>
      <c r="H8" s="439"/>
      <c r="I8" s="439"/>
      <c r="J8" s="439"/>
    </row>
    <row r="9" spans="1:10" ht="8.25" customHeight="1" x14ac:dyDescent="0.25">
      <c r="A9" s="241"/>
      <c r="B9" s="241"/>
      <c r="C9" s="241"/>
      <c r="D9" s="241"/>
      <c r="E9" s="241"/>
      <c r="F9" s="241"/>
    </row>
    <row r="10" spans="1:10" ht="15.6" x14ac:dyDescent="0.25">
      <c r="A10" s="241"/>
      <c r="B10" s="338" t="s">
        <v>0</v>
      </c>
      <c r="C10" s="339"/>
      <c r="D10" s="339"/>
      <c r="E10" s="339"/>
      <c r="F10" s="339"/>
      <c r="G10" s="339"/>
      <c r="H10" s="339"/>
      <c r="I10" s="339"/>
    </row>
    <row r="11" spans="1:10" x14ac:dyDescent="0.25">
      <c r="A11" s="241"/>
      <c r="B11" s="436" t="str">
        <f>IF('Datos generales'!W12&gt;0,"- Es necesario completar los datos generales del título: denominación, modalidad, idioma, curso y descripción"," ")</f>
        <v>- Es necesario completar los datos generales del título: denominación, modalidad, idioma, curso y descripción</v>
      </c>
      <c r="C11" s="436"/>
      <c r="D11" s="436"/>
      <c r="E11" s="436"/>
      <c r="F11" s="436"/>
      <c r="G11" s="436"/>
      <c r="H11" s="436"/>
      <c r="I11" s="436"/>
    </row>
    <row r="12" spans="1:10" x14ac:dyDescent="0.25">
      <c r="A12" s="241"/>
      <c r="B12" s="436" t="str">
        <f>IF('Datos generales'!U19&gt;0,"- Es obligatorio seleccionar al menos una rama de conocimiento"," ")</f>
        <v>- Es obligatorio seleccionar al menos una rama de conocimiento</v>
      </c>
      <c r="C12" s="436"/>
      <c r="D12" s="436"/>
      <c r="E12" s="436"/>
      <c r="F12" s="436"/>
      <c r="G12" s="436"/>
      <c r="H12" s="436"/>
      <c r="I12" s="436"/>
    </row>
    <row r="13" spans="1:10" x14ac:dyDescent="0.25">
      <c r="A13" s="241"/>
      <c r="B13" s="436" t="str">
        <f>IF('Datos generales'!U26&gt;0,"- Es obligatorio seleccionar el campo de formación ISCED o introducir uno personalizado si no aparece en el desplegable"," ")</f>
        <v xml:space="preserve"> </v>
      </c>
      <c r="C13" s="436"/>
      <c r="D13" s="436"/>
      <c r="E13" s="436"/>
      <c r="F13" s="436"/>
      <c r="G13" s="436"/>
      <c r="H13" s="436"/>
      <c r="I13" s="436"/>
    </row>
    <row r="14" spans="1:10" x14ac:dyDescent="0.25">
      <c r="A14" s="241"/>
      <c r="B14" s="436" t="str">
        <f>IF( 'Datos generales'!U30&gt;0,"- Es obligatorio seleccionar el nivel de cualificación (EQF-MECU)"," ")</f>
        <v>- Es obligatorio seleccionar el nivel de cualificación (EQF-MECU)</v>
      </c>
      <c r="C14" s="436"/>
      <c r="D14" s="436"/>
      <c r="E14" s="436"/>
      <c r="F14" s="436"/>
      <c r="G14" s="436"/>
      <c r="H14" s="436"/>
      <c r="I14" s="436"/>
    </row>
    <row r="15" spans="1:10" x14ac:dyDescent="0.25">
      <c r="A15" s="241"/>
      <c r="B15" s="436" t="str">
        <f>IF( 'Datos generales'!U31&gt;0,"- Es obligatorio seleccionar el entorno de aprendizaje (en general, será 'formal')"," ")</f>
        <v>- Es obligatorio seleccionar el entorno de aprendizaje (en general, será 'formal')</v>
      </c>
      <c r="C15" s="436"/>
      <c r="D15" s="436"/>
      <c r="E15" s="436"/>
      <c r="F15" s="436"/>
      <c r="G15" s="436"/>
      <c r="H15" s="436"/>
      <c r="I15" s="436"/>
    </row>
    <row r="16" spans="1:10" x14ac:dyDescent="0.25">
      <c r="A16" s="241"/>
      <c r="B16" s="436" t="str">
        <f>IF(OR(Créditos="",HorasLectivas=""),"- Debe especificar el número de créditos (&lt;15 ECTS) y el número total de horas lectivas (en general, 7.5*ECTS)"," ")</f>
        <v>- Debe especificar el número de créditos (&lt;15 ECTS) y el número total de horas lectivas (en general, 7.5*ECTS)</v>
      </c>
      <c r="C16" s="436"/>
      <c r="D16" s="436"/>
      <c r="E16" s="436"/>
      <c r="F16" s="436"/>
      <c r="G16" s="436"/>
      <c r="H16" s="436"/>
      <c r="I16" s="436"/>
    </row>
    <row r="17" spans="1:9" x14ac:dyDescent="0.25">
      <c r="A17" s="241"/>
      <c r="B17" s="436" t="str">
        <f>IF(Precio="","- Debe especificar el precio del curso en euros (para público general)","")</f>
        <v>- Debe especificar el precio del curso en euros (para público general)</v>
      </c>
      <c r="C17" s="436"/>
      <c r="D17" s="436"/>
      <c r="E17" s="436"/>
      <c r="F17" s="436"/>
      <c r="G17" s="436"/>
      <c r="H17" s="436"/>
      <c r="I17" s="436"/>
    </row>
    <row r="18" spans="1:9" x14ac:dyDescent="0.25">
      <c r="A18" s="241"/>
      <c r="B18" s="436" t="str">
        <f>IF(OR(Plazas.Tot="",Min.Estud=""),"- Debe especificar el número máximo de plazas y el mínimo","")</f>
        <v>- Debe especificar el número máximo de plazas y el mínimo</v>
      </c>
      <c r="C18" s="436"/>
      <c r="D18" s="436"/>
      <c r="E18" s="436"/>
      <c r="F18" s="436"/>
      <c r="G18" s="436"/>
      <c r="H18" s="436"/>
      <c r="I18" s="436"/>
    </row>
    <row r="19" spans="1:9" x14ac:dyDescent="0.25">
      <c r="A19" s="241"/>
      <c r="B19" s="436" t="str">
        <f>IF( 'Datos generales'!W48&gt;0,"- Ha indicado que la microcredencial pertenece a otra oferta, pero no ha especificado ésta"," ")</f>
        <v xml:space="preserve"> </v>
      </c>
      <c r="C19" s="436"/>
      <c r="D19" s="436"/>
      <c r="E19" s="436"/>
      <c r="F19" s="436"/>
      <c r="G19" s="436"/>
      <c r="H19" s="436"/>
      <c r="I19" s="436"/>
    </row>
    <row r="20" spans="1:9" x14ac:dyDescent="0.25">
      <c r="A20" s="241"/>
      <c r="B20" s="436" t="str">
        <f>IF( 'Datos generales'!W59&gt;0,"- Es necesario especificar los destinatarios de la oferta, si requiere titulación previa y los criterios de admisión"," ")</f>
        <v>- Es necesario especificar los destinatarios de la oferta, si requiere titulación previa y los criterios de admisión</v>
      </c>
      <c r="C20" s="436"/>
      <c r="D20" s="436"/>
      <c r="E20" s="436"/>
      <c r="F20" s="436"/>
      <c r="G20" s="436"/>
      <c r="H20" s="436"/>
      <c r="I20" s="436"/>
    </row>
    <row r="21" spans="1:9" x14ac:dyDescent="0.25">
      <c r="A21" s="241"/>
      <c r="B21" s="436" t="str">
        <f>IF('Datos generales'!U70&gt;0,"- Ha indicado que la oferta formativa es en colaboración, pero no ha indicado la entidad colaboradora","")</f>
        <v/>
      </c>
      <c r="C21" s="436"/>
      <c r="D21" s="436"/>
      <c r="E21" s="436"/>
      <c r="F21" s="436"/>
      <c r="G21" s="436"/>
      <c r="H21" s="436"/>
      <c r="I21" s="436"/>
    </row>
    <row r="22" spans="1:9" x14ac:dyDescent="0.25">
      <c r="A22" s="241"/>
      <c r="B22" s="436" t="str">
        <f>IF('Datos generales'!U74&gt;0,"- Ha indicado que la gestión del curso será externa, pero no ha especificado la organización gestora","")</f>
        <v/>
      </c>
      <c r="C22" s="436"/>
      <c r="D22" s="436"/>
      <c r="E22" s="436"/>
      <c r="F22" s="436"/>
      <c r="G22" s="436"/>
      <c r="H22" s="436"/>
      <c r="I22" s="436"/>
    </row>
    <row r="23" spans="1:9" x14ac:dyDescent="0.25">
      <c r="A23" s="241"/>
      <c r="B23" s="436" t="str">
        <f>IF( 'Datos generales'!W83&gt;0,"- Debe completar todos los datos del director/a","")</f>
        <v>- Debe completar todos los datos del director/a</v>
      </c>
      <c r="C23" s="436"/>
      <c r="D23" s="436"/>
      <c r="E23" s="436"/>
      <c r="F23" s="436"/>
      <c r="G23" s="436"/>
      <c r="H23" s="436"/>
      <c r="I23" s="436"/>
    </row>
    <row r="24" spans="1:9" x14ac:dyDescent="0.25">
      <c r="A24" s="241"/>
      <c r="B24" s="436" t="str">
        <f>IF( 'Datos generales'!W88&gt;0,"- Ha indicado que hay un codirector/a. Debe completar todos sus datos ","")</f>
        <v/>
      </c>
      <c r="C24" s="436"/>
      <c r="D24" s="436"/>
      <c r="E24" s="436"/>
      <c r="F24" s="436"/>
      <c r="G24" s="436"/>
      <c r="H24" s="436"/>
      <c r="I24" s="436"/>
    </row>
    <row r="25" spans="1:9" x14ac:dyDescent="0.25">
      <c r="A25" s="241"/>
      <c r="B25" s="436" t="str">
        <f>IF(OR(Emai.Info="",Tel.Info=""),"- Es obligatorio incluir un correo electrónico y un teléfono de información para el curso","")</f>
        <v>- Es obligatorio incluir un correo electrónico y un teléfono de información para el curso</v>
      </c>
      <c r="C25" s="436"/>
      <c r="D25" s="436"/>
      <c r="E25" s="436"/>
      <c r="F25" s="436"/>
      <c r="G25" s="436"/>
      <c r="H25" s="436"/>
      <c r="I25" s="436"/>
    </row>
    <row r="26" spans="1:9" x14ac:dyDescent="0.25">
      <c r="A26" s="241"/>
      <c r="B26" s="440" t="str">
        <f>IF( 'Datos generales'!W99&gt;0,"- Debe indicar el lugar de impartición, la plataforma virtual y el calendario del curso","")</f>
        <v>- Debe indicar el lugar de impartición, la plataforma virtual y el calendario del curso</v>
      </c>
      <c r="C26" s="440"/>
      <c r="D26" s="440"/>
      <c r="E26" s="440"/>
      <c r="F26" s="440"/>
      <c r="G26" s="440"/>
      <c r="H26" s="440"/>
      <c r="I26" s="440"/>
    </row>
    <row r="27" spans="1:9" x14ac:dyDescent="0.25">
      <c r="A27" s="241"/>
      <c r="B27" s="440" t="str">
        <f>IF( 'Datos generales'!W105&gt;0,"- Debe indicar las fechas de inicio y fin de inscripción, matriculación e impartición del curso.","")</f>
        <v>- Debe indicar las fechas de inicio y fin de inscripción, matriculación e impartición del curso.</v>
      </c>
      <c r="C27" s="440"/>
      <c r="D27" s="440"/>
      <c r="E27" s="440"/>
      <c r="F27" s="440"/>
      <c r="G27" s="440"/>
      <c r="H27" s="440"/>
      <c r="I27" s="440"/>
    </row>
    <row r="28" spans="1:9" x14ac:dyDescent="0.25">
      <c r="A28" s="241"/>
      <c r="B28" s="436"/>
      <c r="C28" s="436"/>
      <c r="D28" s="436"/>
      <c r="E28" s="436"/>
      <c r="F28" s="436"/>
      <c r="G28" s="436"/>
      <c r="H28" s="436"/>
      <c r="I28" s="436"/>
    </row>
    <row r="29" spans="1:9" ht="15.6" x14ac:dyDescent="0.25">
      <c r="A29" s="241"/>
      <c r="B29" s="338" t="s">
        <v>347</v>
      </c>
      <c r="C29" s="339"/>
      <c r="D29" s="339"/>
      <c r="E29" s="339"/>
      <c r="F29" s="339"/>
      <c r="G29" s="339"/>
      <c r="H29" s="339"/>
      <c r="I29" s="339"/>
    </row>
    <row r="30" spans="1:9" x14ac:dyDescent="0.25">
      <c r="A30" s="241"/>
      <c r="B30" s="436" t="str">
        <f>IF('Datos académicos certificado'!W16&gt;0,"- Es obligatorio incluir al menos un resultado de aprendizaje con sus características","")</f>
        <v>- Es obligatorio incluir al menos un resultado de aprendizaje con sus características</v>
      </c>
      <c r="C30" s="436"/>
      <c r="D30" s="436"/>
      <c r="E30" s="436"/>
      <c r="F30" s="436"/>
      <c r="G30" s="436"/>
      <c r="H30" s="436"/>
      <c r="I30" s="436"/>
    </row>
    <row r="31" spans="1:9" x14ac:dyDescent="0.25">
      <c r="A31" s="241"/>
      <c r="B31" s="436" t="str">
        <f>IF('Datos académicos certificado'!W45&gt;0,"- No se ha completado la información necesaria correspondiente a los resultados de aprendizaje","")</f>
        <v>- No se ha completado la información necesaria correspondiente a los resultados de aprendizaje</v>
      </c>
      <c r="C31" s="436"/>
      <c r="D31" s="436"/>
      <c r="E31" s="436"/>
      <c r="F31" s="436"/>
      <c r="G31" s="436"/>
      <c r="H31" s="436"/>
      <c r="I31" s="436"/>
    </row>
    <row r="32" spans="1:9" x14ac:dyDescent="0.25">
      <c r="A32" s="241"/>
      <c r="B32" s="436" t="str">
        <f>IF('Datos académicos certificado'!W53&gt;0,"- Es obligatorio incluir al menos tener una actividad con todas sus características","")</f>
        <v>- Es obligatorio incluir al menos tener una actividad con todas sus características</v>
      </c>
      <c r="C32" s="436"/>
      <c r="D32" s="436"/>
      <c r="E32" s="436"/>
      <c r="F32" s="436"/>
      <c r="G32" s="436"/>
      <c r="H32" s="436"/>
      <c r="I32" s="436"/>
    </row>
    <row r="33" spans="1:9" x14ac:dyDescent="0.25">
      <c r="A33" s="241"/>
      <c r="B33" s="436" t="str">
        <f>IF('Datos académicos certificado'!W58&gt;0,"- No se ha completado la información necesaria correspondiente a las actividades formativas","")</f>
        <v>- No se ha completado la información necesaria correspondiente a las actividades formativas</v>
      </c>
      <c r="C33" s="436"/>
      <c r="D33" s="436"/>
      <c r="E33" s="436"/>
      <c r="F33" s="436"/>
      <c r="G33" s="436"/>
      <c r="H33" s="436"/>
      <c r="I33" s="436"/>
    </row>
    <row r="34" spans="1:9" x14ac:dyDescent="0.25">
      <c r="A34" s="241"/>
      <c r="B34" s="436" t="str">
        <f>IF('Datos académicos certificado'!W128&gt;0,"- Es obligatorio incluir al menos tener una evaluación con sus características","")</f>
        <v>- Es obligatorio incluir al menos tener una evaluación con sus características</v>
      </c>
      <c r="C34" s="436"/>
      <c r="D34" s="436"/>
      <c r="E34" s="436"/>
      <c r="F34" s="436"/>
      <c r="G34" s="436"/>
      <c r="H34" s="436"/>
      <c r="I34" s="436"/>
    </row>
    <row r="35" spans="1:9" x14ac:dyDescent="0.25">
      <c r="A35" s="241"/>
      <c r="B35" s="436" t="str">
        <f>IF('Datos académicos certificado'!W129&gt;0,"- No se ha completado la información necesaria correspondiente a todos los elementos de evaluación","")</f>
        <v>- No se ha completado la información necesaria correspondiente a todos los elementos de evaluación</v>
      </c>
      <c r="C35" s="436"/>
      <c r="D35" s="436"/>
      <c r="E35" s="436"/>
      <c r="F35" s="436"/>
      <c r="G35" s="436"/>
      <c r="H35" s="436"/>
      <c r="I35" s="436"/>
    </row>
    <row r="36" spans="1:9" x14ac:dyDescent="0.25">
      <c r="A36" s="241"/>
      <c r="B36" s="242"/>
      <c r="C36" s="242"/>
      <c r="D36" s="242"/>
      <c r="E36" s="242"/>
      <c r="F36" s="242"/>
      <c r="G36" s="242"/>
      <c r="H36" s="242"/>
      <c r="I36" s="242"/>
    </row>
    <row r="37" spans="1:9" ht="15.6" customHeight="1" x14ac:dyDescent="0.25">
      <c r="A37" s="241"/>
      <c r="B37" s="338" t="s">
        <v>372</v>
      </c>
      <c r="C37" s="339"/>
      <c r="D37" s="339"/>
      <c r="E37" s="339"/>
      <c r="F37" s="339"/>
      <c r="G37" s="339"/>
      <c r="H37" s="339"/>
      <c r="I37" s="339"/>
    </row>
    <row r="38" spans="1:9" x14ac:dyDescent="0.25">
      <c r="A38" s="241"/>
      <c r="B38" s="436" t="str">
        <f>IF( 'Datos derechos (opcional)'!V10&gt;0,"- No se ha completado la información necesaria correspondiente a los derechos que otorga la microcredencial","")</f>
        <v/>
      </c>
      <c r="C38" s="436"/>
      <c r="D38" s="436"/>
      <c r="E38" s="436"/>
      <c r="F38" s="436"/>
      <c r="G38" s="436"/>
      <c r="H38" s="436"/>
      <c r="I38" s="436"/>
    </row>
    <row r="39" spans="1:9" x14ac:dyDescent="0.25">
      <c r="A39" s="241"/>
      <c r="B39" s="437"/>
      <c r="C39" s="437"/>
      <c r="D39" s="437"/>
      <c r="E39" s="437"/>
      <c r="F39" s="437"/>
      <c r="G39" s="437"/>
      <c r="H39" s="437"/>
      <c r="I39" s="437"/>
    </row>
    <row r="40" spans="1:9" ht="15.6" x14ac:dyDescent="0.25">
      <c r="A40" s="241"/>
      <c r="B40" s="338" t="s">
        <v>92</v>
      </c>
      <c r="C40" s="339"/>
      <c r="D40" s="339"/>
      <c r="E40" s="339"/>
      <c r="F40" s="339"/>
      <c r="G40" s="339"/>
      <c r="H40" s="339"/>
      <c r="I40" s="339"/>
    </row>
    <row r="41" spans="1:9" x14ac:dyDescent="0.25">
      <c r="A41" s="241"/>
      <c r="B41" s="436" t="str">
        <f>IF(OR(Planificación="",Contenidos="",Recursos="",Equipo.docente="",Crit.Calif=""),"- No se han cubierto todos los apartados de la memoria académica","")</f>
        <v>- No se han cubierto todos los apartados de la memoria académica</v>
      </c>
      <c r="C41" s="436"/>
      <c r="D41" s="436"/>
      <c r="E41" s="436"/>
      <c r="F41" s="436"/>
      <c r="G41" s="436"/>
      <c r="H41" s="436"/>
      <c r="I41" s="436"/>
    </row>
    <row r="42" spans="1:9" x14ac:dyDescent="0.25">
      <c r="A42" s="241"/>
      <c r="B42" s="436" t="str">
        <f>IF(Suma.Eval&lt;100%,"- La suma de las ponderaciones de todos los elementos de la evaluación tiene que ser 100%","")</f>
        <v>- La suma de las ponderaciones de todos los elementos de la evaluación tiene que ser 100%</v>
      </c>
      <c r="C42" s="436"/>
      <c r="D42" s="436"/>
      <c r="E42" s="436"/>
      <c r="F42" s="436"/>
      <c r="G42" s="436"/>
      <c r="H42" s="436"/>
      <c r="I42" s="436"/>
    </row>
    <row r="43" spans="1:9" x14ac:dyDescent="0.25">
      <c r="A43" s="241"/>
      <c r="B43" s="437"/>
      <c r="C43" s="437"/>
      <c r="D43" s="437"/>
      <c r="E43" s="437"/>
      <c r="F43" s="437"/>
      <c r="G43" s="437"/>
      <c r="H43" s="437"/>
      <c r="I43" s="437"/>
    </row>
    <row r="44" spans="1:9" ht="15.6" x14ac:dyDescent="0.25">
      <c r="A44" s="241"/>
      <c r="B44" s="338" t="s">
        <v>346</v>
      </c>
      <c r="C44" s="339"/>
      <c r="D44" s="339"/>
      <c r="E44" s="339"/>
      <c r="F44" s="339"/>
      <c r="G44" s="339"/>
      <c r="H44" s="339"/>
      <c r="I44" s="339"/>
    </row>
    <row r="45" spans="1:9" x14ac:dyDescent="0.25">
      <c r="A45" s="241"/>
      <c r="B45" s="436" t="str">
        <f>IF('Personal docente y de apoyo'!V58&gt;0,"- Faltan por incluir datos personales de docentes o de la docencia que tienen asignada","")</f>
        <v/>
      </c>
      <c r="C45" s="436"/>
      <c r="D45" s="436"/>
      <c r="E45" s="436"/>
      <c r="F45" s="436"/>
      <c r="G45" s="436"/>
      <c r="H45" s="436"/>
      <c r="I45" s="436"/>
    </row>
    <row r="46" spans="1:9" x14ac:dyDescent="0.25">
      <c r="A46" s="241"/>
      <c r="B46" s="436" t="str">
        <f>IF('Personal docente y de apoyo'!V74&gt;0,"- Faltan por incluir datos personales del personal de apoyo o las funciones que desempeñan","")</f>
        <v/>
      </c>
      <c r="C46" s="436"/>
      <c r="D46" s="436"/>
      <c r="E46" s="436"/>
      <c r="F46" s="436"/>
      <c r="G46" s="436"/>
      <c r="H46" s="436"/>
      <c r="I46" s="436"/>
    </row>
    <row r="47" spans="1:9" x14ac:dyDescent="0.25">
      <c r="A47" s="241"/>
      <c r="B47" s="436" t="str">
        <f>IF(Diferencia.Horas.Actividad&lt;&gt;0,"- No coinciden la suma de horas de docentes por actividad con las horas lectivas totales de la actividad ","")</f>
        <v/>
      </c>
      <c r="C47" s="436"/>
      <c r="D47" s="436"/>
      <c r="E47" s="436"/>
      <c r="F47" s="436"/>
      <c r="G47" s="436"/>
      <c r="H47" s="436"/>
      <c r="I47" s="436"/>
    </row>
    <row r="48" spans="1:9" x14ac:dyDescent="0.25">
      <c r="A48" s="241"/>
      <c r="B48" s="436" t="str">
        <f>IF(Diferencia.ECTS&lt;&gt;0,"- No coinciden los créditos ECTS de la formación con la suma de horas que cada estudiante dedicará a las actividades","")</f>
        <v>- No coinciden los créditos ECTS de la formación con la suma de horas que cada estudiante dedicará a las actividades</v>
      </c>
      <c r="C48" s="436"/>
      <c r="D48" s="436"/>
      <c r="E48" s="436"/>
      <c r="F48" s="436"/>
      <c r="G48" s="436"/>
      <c r="H48" s="436"/>
      <c r="I48" s="436"/>
    </row>
    <row r="49" spans="1:9" x14ac:dyDescent="0.25">
      <c r="A49" s="241"/>
      <c r="B49" s="436" t="str">
        <f>IF(AND('Personal docente y de apoyo'!G105&lt;0.2,Justi.Profesorado=""),"- La participación del profesorado UO no llega al mínimo del 20% exigido, y no se ha cumplimentado el apartado de justificación.","")</f>
        <v>- La participación del profesorado UO no llega al mínimo del 20% exigido, y no se ha cumplimentado el apartado de justificación.</v>
      </c>
      <c r="C49" s="436"/>
      <c r="D49" s="436"/>
      <c r="E49" s="436"/>
      <c r="F49" s="436"/>
      <c r="G49" s="436"/>
      <c r="H49" s="436"/>
      <c r="I49" s="436"/>
    </row>
    <row r="50" spans="1:9" x14ac:dyDescent="0.25">
      <c r="A50" s="241"/>
      <c r="B50" s="436"/>
      <c r="C50" s="436"/>
      <c r="D50" s="436"/>
      <c r="E50" s="436"/>
      <c r="F50" s="436"/>
      <c r="G50" s="436"/>
      <c r="H50" s="436"/>
      <c r="I50" s="436"/>
    </row>
    <row r="51" spans="1:9" ht="15.6" x14ac:dyDescent="0.25">
      <c r="A51" s="241"/>
      <c r="B51" s="338" t="s">
        <v>397</v>
      </c>
      <c r="C51" s="339"/>
      <c r="D51" s="339"/>
      <c r="E51" s="339"/>
      <c r="F51" s="339"/>
      <c r="G51" s="339"/>
      <c r="H51" s="339"/>
      <c r="I51" s="339"/>
    </row>
    <row r="52" spans="1:9" x14ac:dyDescent="0.25">
      <c r="A52" s="241"/>
      <c r="B52" s="436" t="str">
        <f>IF(AND(OR(Importe.Beca&lt;&gt;"",N.Est.Becados&lt;&gt;""),Becas.financiador=""),"- Ha indicado que hay becas, por lo que debe completar el nombre del financiador","")</f>
        <v/>
      </c>
      <c r="C52" s="436"/>
      <c r="D52" s="436"/>
      <c r="E52" s="436"/>
      <c r="F52" s="436"/>
      <c r="G52" s="436"/>
      <c r="H52" s="436"/>
      <c r="I52" s="436"/>
    </row>
    <row r="53" spans="1:9" x14ac:dyDescent="0.25">
      <c r="A53" s="241"/>
      <c r="B53" s="436" t="str">
        <f>IF(Suma.Estud&gt;Plazas.Tot,"- El número total de estudiantes en la hoja de datos generales no coincide con el de la hoja de datos económicos","")</f>
        <v/>
      </c>
      <c r="C53" s="436"/>
      <c r="D53" s="436"/>
      <c r="E53" s="436"/>
      <c r="F53" s="436"/>
      <c r="G53" s="436"/>
      <c r="H53" s="436"/>
      <c r="I53" s="436"/>
    </row>
    <row r="54" spans="1:9" x14ac:dyDescent="0.25">
      <c r="A54" s="241"/>
      <c r="B54" s="436" t="str">
        <f>IF('Memoria económica'!B104=FALSE,IF('Memoria económica'!E92=0,"","- Los ingresos y los gastos deben coincidir"),"")</f>
        <v/>
      </c>
      <c r="C54" s="436"/>
      <c r="D54" s="436"/>
      <c r="E54" s="436"/>
      <c r="F54" s="436"/>
      <c r="G54" s="436"/>
      <c r="H54" s="436"/>
      <c r="I54" s="436"/>
    </row>
    <row r="55" spans="1:9" x14ac:dyDescent="0.25">
      <c r="A55" s="241"/>
      <c r="B55" s="238"/>
      <c r="C55" s="238"/>
      <c r="D55" s="238"/>
      <c r="E55" s="238"/>
      <c r="F55" s="238"/>
    </row>
    <row r="56" spans="1:9" ht="15.6" customHeight="1" x14ac:dyDescent="0.25">
      <c r="A56" s="241"/>
      <c r="B56" s="338" t="s">
        <v>348</v>
      </c>
      <c r="C56" s="339"/>
      <c r="D56" s="339"/>
      <c r="E56" s="339"/>
      <c r="F56" s="339"/>
      <c r="G56" s="339"/>
      <c r="H56" s="339"/>
      <c r="I56" s="339"/>
    </row>
    <row r="57" spans="1:9" x14ac:dyDescent="0.25">
      <c r="A57" s="241"/>
      <c r="B57" s="436" t="str">
        <f>IF(OR(CoordNom="",Cord.email="",Coord.Tel=""),"- Debe completar todos los datos del Coordinador/a del SGIC","")</f>
        <v>- Debe completar todos los datos del Coordinador/a del SGIC</v>
      </c>
      <c r="C57" s="436"/>
      <c r="D57" s="436"/>
      <c r="E57" s="436"/>
      <c r="F57" s="436"/>
      <c r="G57" s="436"/>
      <c r="H57" s="436"/>
      <c r="I57" s="436"/>
    </row>
    <row r="58" spans="1:9" x14ac:dyDescent="0.25">
      <c r="A58" s="241"/>
      <c r="B58" s="436" t="str">
        <f>IF(ApoyoEst="","- Debe cumplimentar los mecanismos de apoyo al estudiantado","")</f>
        <v>- Debe cumplimentar los mecanismos de apoyo al estudiantado</v>
      </c>
      <c r="C58" s="436"/>
      <c r="D58" s="436"/>
      <c r="E58" s="436"/>
      <c r="F58" s="436"/>
      <c r="G58" s="436"/>
      <c r="H58" s="436"/>
      <c r="I58" s="436"/>
    </row>
    <row r="59" spans="1:9" x14ac:dyDescent="0.25">
      <c r="A59" s="241"/>
      <c r="B59" s="436" t="str">
        <f>IF(OR(Tasa.Grad="",Demanda.Est="",Tasa.Aban="",Satis.Est="",Satis.Prof="",Satis.Empl=""),"- Debe incluir estimaciones para todos los indicadores de calidad","")</f>
        <v>- Debe incluir estimaciones para todos los indicadores de calidad</v>
      </c>
      <c r="C59" s="436"/>
      <c r="D59" s="436"/>
      <c r="E59" s="436"/>
      <c r="F59" s="436"/>
      <c r="G59" s="436"/>
      <c r="H59" s="436"/>
      <c r="I59" s="436"/>
    </row>
    <row r="60" spans="1:9" x14ac:dyDescent="0.25">
      <c r="A60" s="241"/>
      <c r="B60" s="436" t="str">
        <f>IF(Justi.Estim.Cal="","- Debe cumplimentar la justificación de las estimaciones de indicadores de calidad","")</f>
        <v>- Debe cumplimentar la justificación de las estimaciones de indicadores de calidad</v>
      </c>
      <c r="C60" s="436"/>
      <c r="D60" s="436"/>
      <c r="E60" s="436"/>
      <c r="F60" s="436"/>
      <c r="G60" s="436"/>
      <c r="H60" s="436"/>
      <c r="I60" s="436"/>
    </row>
    <row r="61" spans="1:9" x14ac:dyDescent="0.25">
      <c r="A61" s="241"/>
      <c r="B61" s="238"/>
      <c r="C61" s="238"/>
      <c r="D61" s="238"/>
      <c r="E61" s="238"/>
      <c r="F61" s="238"/>
    </row>
    <row r="62" spans="1:9" ht="15.6" x14ac:dyDescent="0.25">
      <c r="A62" s="241"/>
      <c r="B62" s="338" t="s">
        <v>293</v>
      </c>
      <c r="C62" s="339"/>
      <c r="D62" s="339"/>
      <c r="E62" s="339"/>
      <c r="F62" s="339"/>
      <c r="G62" s="339"/>
      <c r="H62" s="339"/>
      <c r="I62" s="339"/>
    </row>
    <row r="63" spans="1:9" x14ac:dyDescent="0.25">
      <c r="A63" s="241"/>
      <c r="B63" s="436" t="str">
        <f>IF(COUNTBLANK('Informe de autoevaluación'!C18:C27)+COUNTBLANK('Informe de autoevaluación'!C35:C40)+COUNTBLANK('Informe de autoevaluación'!C48:C53)+COUNTBLANK('Informe de autoevaluación'!C61:C64)+COUNTBLANK('Informe de autoevaluación'!C72:C75)+COUNTBLANK('Informe de autoevaluación'!C84:C85)+COUNTBLANK('Informe de autoevaluación'!C93:C96)&gt;0,"- Debe cumplimentar las valoraciones cualitativas de todos los criterios","")</f>
        <v>- Debe cumplimentar las valoraciones cualitativas de todos los criterios</v>
      </c>
      <c r="C63" s="436"/>
      <c r="D63" s="436"/>
      <c r="E63" s="436"/>
      <c r="F63" s="436"/>
      <c r="G63" s="436"/>
      <c r="H63" s="436"/>
      <c r="I63" s="436"/>
    </row>
    <row r="64" spans="1:9" x14ac:dyDescent="0.25">
      <c r="A64" s="241"/>
      <c r="B64" s="238"/>
      <c r="C64" s="238"/>
      <c r="D64" s="238"/>
      <c r="E64" s="238"/>
      <c r="F64" s="238"/>
    </row>
    <row r="65" s="238" customFormat="1" x14ac:dyDescent="0.25"/>
    <row r="66" s="238" customFormat="1" x14ac:dyDescent="0.25"/>
    <row r="67" s="238" customFormat="1" x14ac:dyDescent="0.25"/>
    <row r="68" s="238" customFormat="1" x14ac:dyDescent="0.25"/>
  </sheetData>
  <sheetProtection algorithmName="SHA-512" hashValue="n2c8QlBqVTBFU+hXzejWHC+FDlPvkVshbiC09dZi9f3YIHXqbaZlJfUOeQADZ8sjVSuvcgOXRx7ryzGwkbFj2w==" saltValue="EaoyiQVaxXVxsleo0s4ZEQ==" spinCount="100000" sheet="1" objects="1" scenarios="1" selectLockedCells="1"/>
  <mergeCells count="55">
    <mergeCell ref="B40:I40"/>
    <mergeCell ref="B32:I32"/>
    <mergeCell ref="B33:I33"/>
    <mergeCell ref="B34:I34"/>
    <mergeCell ref="B35:I35"/>
    <mergeCell ref="B37:I37"/>
    <mergeCell ref="B63:I63"/>
    <mergeCell ref="B57:I57"/>
    <mergeCell ref="B58:I58"/>
    <mergeCell ref="B59:I59"/>
    <mergeCell ref="B60:I60"/>
    <mergeCell ref="B56:I56"/>
    <mergeCell ref="B62:I62"/>
    <mergeCell ref="B15:I15"/>
    <mergeCell ref="B24:I24"/>
    <mergeCell ref="B16:I16"/>
    <mergeCell ref="B20:I20"/>
    <mergeCell ref="B26:I26"/>
    <mergeCell ref="B18:I18"/>
    <mergeCell ref="B22:I22"/>
    <mergeCell ref="B41:I41"/>
    <mergeCell ref="B46:I46"/>
    <mergeCell ref="B28:I28"/>
    <mergeCell ref="B27:I27"/>
    <mergeCell ref="B25:I25"/>
    <mergeCell ref="B29:I29"/>
    <mergeCell ref="B52:I52"/>
    <mergeCell ref="B12:I12"/>
    <mergeCell ref="A5:J5"/>
    <mergeCell ref="A6:F6"/>
    <mergeCell ref="A7:J7"/>
    <mergeCell ref="A8:J8"/>
    <mergeCell ref="B11:I11"/>
    <mergeCell ref="B10:I10"/>
    <mergeCell ref="B13:I13"/>
    <mergeCell ref="B14:I14"/>
    <mergeCell ref="B17:I17"/>
    <mergeCell ref="B23:I23"/>
    <mergeCell ref="B19:I19"/>
    <mergeCell ref="B53:I53"/>
    <mergeCell ref="B54:I54"/>
    <mergeCell ref="B21:I21"/>
    <mergeCell ref="B51:I51"/>
    <mergeCell ref="B42:I42"/>
    <mergeCell ref="B30:I30"/>
    <mergeCell ref="B31:I31"/>
    <mergeCell ref="B39:I39"/>
    <mergeCell ref="B43:I43"/>
    <mergeCell ref="B44:I44"/>
    <mergeCell ref="B45:I45"/>
    <mergeCell ref="B49:I49"/>
    <mergeCell ref="B50:I50"/>
    <mergeCell ref="B47:I47"/>
    <mergeCell ref="B48:I48"/>
    <mergeCell ref="B38:I38"/>
  </mergeCells>
  <pageMargins left="0.59055118110236227" right="0.59055118110236227" top="0.59055118110236227" bottom="0.59055118110236227" header="0.31496062992125984" footer="0.31496062992125984"/>
  <pageSetup paperSize="9" scale="71" fitToHeight="0" orientation="portrait" horizontalDpi="0" verticalDpi="0" r:id="rId1"/>
  <headerFooter>
    <oddFooter>&amp;L&amp;A&amp;C&amp;P de &amp;N&amp;R&amp;D&amp;T</oddFooter>
  </headerFooter>
  <drawing r:id="rId2"/>
</worksheet>
</file>

<file path=docMetadata/LabelInfo.xml><?xml version="1.0" encoding="utf-8"?>
<clbl:labelList xmlns:clbl="http://schemas.microsoft.com/office/2020/mipLabelMetadata">
  <clbl:label id="{05ea74a3-92c5-4c31-978a-925c3c799cd0}" enabled="0" method="" siteId="{05ea74a3-92c5-4c31-978a-925c3c799cd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280</vt:i4>
      </vt:variant>
    </vt:vector>
  </HeadingPairs>
  <TitlesOfParts>
    <vt:vector size="290" baseType="lpstr">
      <vt:lpstr>Datos generales</vt:lpstr>
      <vt:lpstr>Listado</vt:lpstr>
      <vt:lpstr>Datos académicos certificado</vt:lpstr>
      <vt:lpstr>Datos derechos (opcional)</vt:lpstr>
      <vt:lpstr>Memoria académica</vt:lpstr>
      <vt:lpstr>Personal docente y de apoyo</vt:lpstr>
      <vt:lpstr>Memoria económica</vt:lpstr>
      <vt:lpstr>Datos para SGIC</vt:lpstr>
      <vt:lpstr>Informe de autoevaluación</vt:lpstr>
      <vt:lpstr>Resumen errores</vt:lpstr>
      <vt:lpstr>AColecVulnera</vt:lpstr>
      <vt:lpstr>Actividad1</vt:lpstr>
      <vt:lpstr>Actividad10</vt:lpstr>
      <vt:lpstr>Actividad2</vt:lpstr>
      <vt:lpstr>Actividad3</vt:lpstr>
      <vt:lpstr>Actividad4</vt:lpstr>
      <vt:lpstr>Actividad5</vt:lpstr>
      <vt:lpstr>Actividad6</vt:lpstr>
      <vt:lpstr>Actividad7</vt:lpstr>
      <vt:lpstr>Actividad8</vt:lpstr>
      <vt:lpstr>Actividad9</vt:lpstr>
      <vt:lpstr>ApoyoEst</vt:lpstr>
      <vt:lpstr>'Datos académicos certificado'!Área_de_impresión</vt:lpstr>
      <vt:lpstr>'Datos generales'!Área_de_impresión</vt:lpstr>
      <vt:lpstr>'Datos para SGIC'!Área_de_impresión</vt:lpstr>
      <vt:lpstr>'Informe de autoevaluación'!Área_de_impresión</vt:lpstr>
      <vt:lpstr>'Memoria académica'!Área_de_impresión</vt:lpstr>
      <vt:lpstr>'Memoria económica'!Área_de_impresión</vt:lpstr>
      <vt:lpstr>'Personal docente y de apoyo'!Área_de_impresión</vt:lpstr>
      <vt:lpstr>'Resumen errores'!Área_de_impresión</vt:lpstr>
      <vt:lpstr>Becas.financiador</vt:lpstr>
      <vt:lpstr>Codir.DNI</vt:lpstr>
      <vt:lpstr>Codir.Email</vt:lpstr>
      <vt:lpstr>Codir.Entidad</vt:lpstr>
      <vt:lpstr>Codir.Tel</vt:lpstr>
      <vt:lpstr>CodirNom</vt:lpstr>
      <vt:lpstr>Contenidos</vt:lpstr>
      <vt:lpstr>Convenio.Fecha</vt:lpstr>
      <vt:lpstr>Coord.Tel</vt:lpstr>
      <vt:lpstr>CoordNom</vt:lpstr>
      <vt:lpstr>Cord.email</vt:lpstr>
      <vt:lpstr>Créditos</vt:lpstr>
      <vt:lpstr>Crit.Admisión</vt:lpstr>
      <vt:lpstr>Crit.Calif</vt:lpstr>
      <vt:lpstr>CritSelección</vt:lpstr>
      <vt:lpstr>Curso</vt:lpstr>
      <vt:lpstr>Demanda.Est</vt:lpstr>
      <vt:lpstr>Derecho1</vt:lpstr>
      <vt:lpstr>Derecho1.Desc</vt:lpstr>
      <vt:lpstr>Derecho1.Estado</vt:lpstr>
      <vt:lpstr>Derecho1.Otorgado</vt:lpstr>
      <vt:lpstr>Derecho1.Tipo</vt:lpstr>
      <vt:lpstr>Derecho1.Valido</vt:lpstr>
      <vt:lpstr>Derecho2</vt:lpstr>
      <vt:lpstr>Derecho2.Desc</vt:lpstr>
      <vt:lpstr>Derecho2.Estado</vt:lpstr>
      <vt:lpstr>Derecho2.Otorgado</vt:lpstr>
      <vt:lpstr>Derecho2.Tipo</vt:lpstr>
      <vt:lpstr>Derecho2.Valido</vt:lpstr>
      <vt:lpstr>Derecho3</vt:lpstr>
      <vt:lpstr>Derecho3.Desc</vt:lpstr>
      <vt:lpstr>Derecho3.Estado</vt:lpstr>
      <vt:lpstr>Derecho3.Otorgado</vt:lpstr>
      <vt:lpstr>Derecho3.Tipo</vt:lpstr>
      <vt:lpstr>Derecho3.Valido</vt:lpstr>
      <vt:lpstr>Derecho4</vt:lpstr>
      <vt:lpstr>Derecho4.Desc</vt:lpstr>
      <vt:lpstr>Derecho4.Estado</vt:lpstr>
      <vt:lpstr>Derecho4.Otorgado</vt:lpstr>
      <vt:lpstr>Derecho4.Tipo</vt:lpstr>
      <vt:lpstr>Derecho4.Valido</vt:lpstr>
      <vt:lpstr>Derecho5</vt:lpstr>
      <vt:lpstr>Derecho5.Desc</vt:lpstr>
      <vt:lpstr>Derecho5.Estado</vt:lpstr>
      <vt:lpstr>Derecho5.Otorgado</vt:lpstr>
      <vt:lpstr>Derecho5.Tipo</vt:lpstr>
      <vt:lpstr>Derecho5.Valido</vt:lpstr>
      <vt:lpstr>DescAct1</vt:lpstr>
      <vt:lpstr>DescAct10</vt:lpstr>
      <vt:lpstr>DescAct2</vt:lpstr>
      <vt:lpstr>DescAct3</vt:lpstr>
      <vt:lpstr>DescAct4</vt:lpstr>
      <vt:lpstr>DescAct5</vt:lpstr>
      <vt:lpstr>DescAct6</vt:lpstr>
      <vt:lpstr>DescAct7</vt:lpstr>
      <vt:lpstr>DescAct8</vt:lpstr>
      <vt:lpstr>DescAct9</vt:lpstr>
      <vt:lpstr>Descripción</vt:lpstr>
      <vt:lpstr>Descuento.Otros</vt:lpstr>
      <vt:lpstr>Descuento.UO</vt:lpstr>
      <vt:lpstr>Descuento.Vulne</vt:lpstr>
      <vt:lpstr>Destinatarios</vt:lpstr>
      <vt:lpstr>Diferencia.ECTS</vt:lpstr>
      <vt:lpstr>Diferencia.Horas.Actividad</vt:lpstr>
      <vt:lpstr>Dir.Area</vt:lpstr>
      <vt:lpstr>Dir.Cat</vt:lpstr>
      <vt:lpstr>Dir.Email</vt:lpstr>
      <vt:lpstr>Dir.Tel</vt:lpstr>
      <vt:lpstr>DirAct1</vt:lpstr>
      <vt:lpstr>DirAct10</vt:lpstr>
      <vt:lpstr>DirAct2</vt:lpstr>
      <vt:lpstr>DirAct3</vt:lpstr>
      <vt:lpstr>DirAct4</vt:lpstr>
      <vt:lpstr>DirAct5</vt:lpstr>
      <vt:lpstr>DirAct6</vt:lpstr>
      <vt:lpstr>DirAct7</vt:lpstr>
      <vt:lpstr>DirAct8</vt:lpstr>
      <vt:lpstr>DirAct9</vt:lpstr>
      <vt:lpstr>DirDNI</vt:lpstr>
      <vt:lpstr>DirNombre</vt:lpstr>
      <vt:lpstr>Edición</vt:lpstr>
      <vt:lpstr>Emai.Info</vt:lpstr>
      <vt:lpstr>En.Colab</vt:lpstr>
      <vt:lpstr>En.Colab.Entidad</vt:lpstr>
      <vt:lpstr>Entorno</vt:lpstr>
      <vt:lpstr>EQF</vt:lpstr>
      <vt:lpstr>Equipo.docente</vt:lpstr>
      <vt:lpstr>Error.Num.Est</vt:lpstr>
      <vt:lpstr>Est.SinBeca</vt:lpstr>
      <vt:lpstr>Eval1</vt:lpstr>
      <vt:lpstr>Eval1Calif</vt:lpstr>
      <vt:lpstr>Eval1Desc</vt:lpstr>
      <vt:lpstr>Eval1Mod</vt:lpstr>
      <vt:lpstr>Eval1Tipo</vt:lpstr>
      <vt:lpstr>Eval1Verif</vt:lpstr>
      <vt:lpstr>Eval2</vt:lpstr>
      <vt:lpstr>Eval2Calif</vt:lpstr>
      <vt:lpstr>Eval2Desc</vt:lpstr>
      <vt:lpstr>Eval2Mod</vt:lpstr>
      <vt:lpstr>Eval2Tipo</vt:lpstr>
      <vt:lpstr>Eval2Verif</vt:lpstr>
      <vt:lpstr>Eval3</vt:lpstr>
      <vt:lpstr>Eval3Calif</vt:lpstr>
      <vt:lpstr>Eval3Desc</vt:lpstr>
      <vt:lpstr>Eval3Mod</vt:lpstr>
      <vt:lpstr>Eval3Tipo</vt:lpstr>
      <vt:lpstr>Eval3Verif</vt:lpstr>
      <vt:lpstr>Eval4</vt:lpstr>
      <vt:lpstr>Eval4Calif</vt:lpstr>
      <vt:lpstr>Eval4Desc</vt:lpstr>
      <vt:lpstr>Eval4Mod</vt:lpstr>
      <vt:lpstr>Eval4Tipo</vt:lpstr>
      <vt:lpstr>Eval4Verif</vt:lpstr>
      <vt:lpstr>Eval5</vt:lpstr>
      <vt:lpstr>Eval5Calif</vt:lpstr>
      <vt:lpstr>Eval5Desc</vt:lpstr>
      <vt:lpstr>Eval5Mod</vt:lpstr>
      <vt:lpstr>Eval5Tipo</vt:lpstr>
      <vt:lpstr>Eval5Verif</vt:lpstr>
      <vt:lpstr>Existe.Otra.Oferta</vt:lpstr>
      <vt:lpstr>Gest.Ext.Nom</vt:lpstr>
      <vt:lpstr>Gestion.Ext</vt:lpstr>
      <vt:lpstr>Horario</vt:lpstr>
      <vt:lpstr>Horas1</vt:lpstr>
      <vt:lpstr>Horas10</vt:lpstr>
      <vt:lpstr>Horas2</vt:lpstr>
      <vt:lpstr>Horas3</vt:lpstr>
      <vt:lpstr>Horas4</vt:lpstr>
      <vt:lpstr>Horas5</vt:lpstr>
      <vt:lpstr>Horas6</vt:lpstr>
      <vt:lpstr>Horas7</vt:lpstr>
      <vt:lpstr>Horas8</vt:lpstr>
      <vt:lpstr>Horas9</vt:lpstr>
      <vt:lpstr>HorasLectivas</vt:lpstr>
      <vt:lpstr>HorasTotales</vt:lpstr>
      <vt:lpstr>HProf1</vt:lpstr>
      <vt:lpstr>HProf10</vt:lpstr>
      <vt:lpstr>HProf2</vt:lpstr>
      <vt:lpstr>HProf3</vt:lpstr>
      <vt:lpstr>HProf4</vt:lpstr>
      <vt:lpstr>HProf5</vt:lpstr>
      <vt:lpstr>HProf6</vt:lpstr>
      <vt:lpstr>HProf7</vt:lpstr>
      <vt:lpstr>HProf8</vt:lpstr>
      <vt:lpstr>HProf9</vt:lpstr>
      <vt:lpstr>Idioma</vt:lpstr>
      <vt:lpstr>Impart.Fin</vt:lpstr>
      <vt:lpstr>Impart.Ini</vt:lpstr>
      <vt:lpstr>Importe.Beca</vt:lpstr>
      <vt:lpstr>ISCED</vt:lpstr>
      <vt:lpstr>Justi.Demanda.Segunda</vt:lpstr>
      <vt:lpstr>Justi.Estim.Cal</vt:lpstr>
      <vt:lpstr>Justi.Profesorado</vt:lpstr>
      <vt:lpstr>Justificación</vt:lpstr>
      <vt:lpstr>Lugar</vt:lpstr>
      <vt:lpstr>Matric.Fin</vt:lpstr>
      <vt:lpstr>Matric.Ini</vt:lpstr>
      <vt:lpstr>Min.Estud</vt:lpstr>
      <vt:lpstr>ModAct1</vt:lpstr>
      <vt:lpstr>ModAct10</vt:lpstr>
      <vt:lpstr>ModAct2</vt:lpstr>
      <vt:lpstr>ModAct3</vt:lpstr>
      <vt:lpstr>ModAct4</vt:lpstr>
      <vt:lpstr>ModAct5</vt:lpstr>
      <vt:lpstr>ModAct6</vt:lpstr>
      <vt:lpstr>ModAct7</vt:lpstr>
      <vt:lpstr>ModAct8</vt:lpstr>
      <vt:lpstr>ModAct9</vt:lpstr>
      <vt:lpstr>Modalidad</vt:lpstr>
      <vt:lpstr>N.Descuento.Otros</vt:lpstr>
      <vt:lpstr>N.Descuento.UO</vt:lpstr>
      <vt:lpstr>N.Descuento.Vulne</vt:lpstr>
      <vt:lpstr>N.Est.Becados</vt:lpstr>
      <vt:lpstr>ODS</vt:lpstr>
      <vt:lpstr>OtraAsigNom</vt:lpstr>
      <vt:lpstr>OtraOfertaCod</vt:lpstr>
      <vt:lpstr>OtraOfertaNom</vt:lpstr>
      <vt:lpstr>ParteOtraOferta</vt:lpstr>
      <vt:lpstr>Periodicidad</vt:lpstr>
      <vt:lpstr>Planificación</vt:lpstr>
      <vt:lpstr>PlatVirtual</vt:lpstr>
      <vt:lpstr>Plazas.Ant</vt:lpstr>
      <vt:lpstr>Plazas.Tot</vt:lpstr>
      <vt:lpstr>Precio</vt:lpstr>
      <vt:lpstr>Precio.Anterior</vt:lpstr>
      <vt:lpstr>Preins.Fin</vt:lpstr>
      <vt:lpstr>Preins.Ini</vt:lpstr>
      <vt:lpstr>Prof.Int.Porcentaje</vt:lpstr>
      <vt:lpstr>Promotores</vt:lpstr>
      <vt:lpstr>Prop.Mejora</vt:lpstr>
      <vt:lpstr>R.A.1</vt:lpstr>
      <vt:lpstr>R.A.2</vt:lpstr>
      <vt:lpstr>R.A.3</vt:lpstr>
      <vt:lpstr>R.A.4</vt:lpstr>
      <vt:lpstr>R.A.5</vt:lpstr>
      <vt:lpstr>RA1.ESCO</vt:lpstr>
      <vt:lpstr>RA1.OCap</vt:lpstr>
      <vt:lpstr>RA1.Reut</vt:lpstr>
      <vt:lpstr>RA1.Tipo</vt:lpstr>
      <vt:lpstr>RA2.ESCO</vt:lpstr>
      <vt:lpstr>RA2.OCap</vt:lpstr>
      <vt:lpstr>RA2.Reut</vt:lpstr>
      <vt:lpstr>RA2.Tipo</vt:lpstr>
      <vt:lpstr>RA3.ESCO</vt:lpstr>
      <vt:lpstr>RA3.OCap</vt:lpstr>
      <vt:lpstr>RA3.Reut</vt:lpstr>
      <vt:lpstr>RA3.Tipo</vt:lpstr>
      <vt:lpstr>RA4.ESCO</vt:lpstr>
      <vt:lpstr>RA4.OCap</vt:lpstr>
      <vt:lpstr>RA4.Reut</vt:lpstr>
      <vt:lpstr>RA4.Tipo</vt:lpstr>
      <vt:lpstr>RA5.ESCO</vt:lpstr>
      <vt:lpstr>RA5.OCap</vt:lpstr>
      <vt:lpstr>RA5.Reut</vt:lpstr>
      <vt:lpstr>RA5.Tipo</vt:lpstr>
      <vt:lpstr>Rama.Artes</vt:lpstr>
      <vt:lpstr>Rama.CCSS</vt:lpstr>
      <vt:lpstr>Rama.Ciencias</vt:lpstr>
      <vt:lpstr>Rama.CSalud</vt:lpstr>
      <vt:lpstr>Rama.Ing</vt:lpstr>
      <vt:lpstr>Recursos</vt:lpstr>
      <vt:lpstr>Satis.Empl</vt:lpstr>
      <vt:lpstr>Satis.Est</vt:lpstr>
      <vt:lpstr>Satis.Prof</vt:lpstr>
      <vt:lpstr>Subv1.Importe</vt:lpstr>
      <vt:lpstr>Subv1.Nombre</vt:lpstr>
      <vt:lpstr>Subv2.Importe</vt:lpstr>
      <vt:lpstr>Subv2.Nombre</vt:lpstr>
      <vt:lpstr>Subv3.Importe</vt:lpstr>
      <vt:lpstr>Subv3.Nombre</vt:lpstr>
      <vt:lpstr>Suma.Estud</vt:lpstr>
      <vt:lpstr>Suma.Eval</vt:lpstr>
      <vt:lpstr>Tasa.Aban</vt:lpstr>
      <vt:lpstr>Tasa.Grad</vt:lpstr>
      <vt:lpstr>Tel.Info</vt:lpstr>
      <vt:lpstr>'Datos para SGIC'!Texto117</vt:lpstr>
      <vt:lpstr>'Datos para SGIC'!Texto118</vt:lpstr>
      <vt:lpstr>TipoApren1</vt:lpstr>
      <vt:lpstr>TipoApren10</vt:lpstr>
      <vt:lpstr>TipoApren2</vt:lpstr>
      <vt:lpstr>TipoApren3</vt:lpstr>
      <vt:lpstr>TipoApren4</vt:lpstr>
      <vt:lpstr>TipoApren5</vt:lpstr>
      <vt:lpstr>TipoApren6</vt:lpstr>
      <vt:lpstr>TipoApren7</vt:lpstr>
      <vt:lpstr>TipoApren8</vt:lpstr>
      <vt:lpstr>TipoApren9</vt:lpstr>
      <vt:lpstr>TipoDAct1</vt:lpstr>
      <vt:lpstr>TipoDAct10</vt:lpstr>
      <vt:lpstr>TipoDAct2</vt:lpstr>
      <vt:lpstr>TipoDAct3</vt:lpstr>
      <vt:lpstr>TipoDAct4</vt:lpstr>
      <vt:lpstr>TipoDAct5</vt:lpstr>
      <vt:lpstr>TipoDAct6</vt:lpstr>
      <vt:lpstr>TipoDAct7</vt:lpstr>
      <vt:lpstr>TipoDAct8</vt:lpstr>
      <vt:lpstr>TipoDAct9</vt:lpstr>
      <vt:lpstr>TitPrevia</vt:lpstr>
      <vt:lpstr>Titulo.Inglés</vt:lpstr>
      <vt:lpstr>TítuloMU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LUQUE RODRIGUEZ</dc:creator>
  <cp:lastModifiedBy>SUSANA LUQUE RODRIGUEZ</cp:lastModifiedBy>
  <cp:lastPrinted>2025-01-12T08:58:18Z</cp:lastPrinted>
  <dcterms:created xsi:type="dcterms:W3CDTF">2025-01-01T22:50:41Z</dcterms:created>
  <dcterms:modified xsi:type="dcterms:W3CDTF">2025-01-13T08:14:38Z</dcterms:modified>
</cp:coreProperties>
</file>